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CG4827\Desktop\"/>
    </mc:Choice>
  </mc:AlternateContent>
  <workbookProtection workbookPassword="B65E" lockStructure="1"/>
  <bookViews>
    <workbookView xWindow="-120" yWindow="-120" windowWidth="29040" windowHeight="15840"/>
  </bookViews>
  <sheets>
    <sheet name="1. Site Data" sheetId="1" r:id="rId1"/>
    <sheet name="2. Operational Data" sheetId="4" r:id="rId2"/>
    <sheet name="3. INVOICE UPLOAD" sheetId="2" r:id="rId3"/>
    <sheet name="Lists" sheetId="3" state="hidden" r:id="rId4"/>
    <sheet name="Revision notes" sheetId="5" state="hidden" r:id="rId5"/>
  </sheets>
  <externalReferences>
    <externalReference r:id="rId6"/>
  </externalReferences>
  <definedNames>
    <definedName name="annual_cycles_per_charger">'2. Operational Data'!$C$33</definedName>
    <definedName name="busbar_savings">'2. Operational Data'!$C$52</definedName>
    <definedName name="equipment_cost">'2. Operational Data'!$C$13</definedName>
    <definedName name="existing_battery">'2. Operational Data'!$C$9</definedName>
    <definedName name="final_incentive">'2. Operational Data'!$C$56</definedName>
    <definedName name="no_chargers">'2. Operational Data'!$C$3</definedName>
    <definedName name="_xlnm.Print_Area" localSheetId="1">'2. Operational Data'!$B$1:$F$63</definedName>
    <definedName name="project_cost">'2. Operational Data'!$C$17</definedName>
    <definedName name="ToolName">'[1]Master Outputs'!$B$75</definedName>
    <definedName name="ToolVersion">'[1]Master Outputs'!$B$76</definedName>
    <definedName name="upgrade_battery">'2. Operational Data'!$E$9</definedName>
    <definedName name="weekday_cycles">'2. Operational Data'!$C$23</definedName>
    <definedName name="weekday_days">'2. Operational Data'!$C$24</definedName>
    <definedName name="weekday_weeks">'2. Operational Data'!$C$25</definedName>
    <definedName name="weekend_cycles">'2. Operational Data'!$C$28</definedName>
    <definedName name="weekend_days">'2. Operational Data'!$C$29</definedName>
    <definedName name="weekend_weeks">'2. Operational Data'!$C$30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4" i="4" l="1"/>
  <c r="E13" i="4" l="1"/>
  <c r="C11" i="4" l="1"/>
  <c r="H9" i="4" l="1"/>
  <c r="E30" i="4"/>
  <c r="E25" i="4"/>
  <c r="E22" i="4"/>
  <c r="E29" i="4"/>
  <c r="E24" i="4"/>
  <c r="E28" i="4"/>
  <c r="E23" i="4"/>
  <c r="E3" i="4"/>
  <c r="P23" i="3" l="1"/>
  <c r="P24" i="3" s="1"/>
  <c r="O23" i="3"/>
  <c r="O24" i="3" s="1"/>
  <c r="N23" i="3"/>
  <c r="N24" i="3" s="1"/>
  <c r="M23" i="3"/>
  <c r="M24" i="3" s="1"/>
  <c r="L23" i="3"/>
  <c r="L24" i="3" s="1"/>
  <c r="K23" i="3"/>
  <c r="K24" i="3" s="1"/>
  <c r="C37" i="4" l="1"/>
  <c r="E10" i="4" l="1"/>
  <c r="C40" i="4" l="1"/>
  <c r="C10" i="4"/>
  <c r="C44" i="4" l="1"/>
  <c r="C43" i="4"/>
  <c r="C17" i="4" l="1"/>
  <c r="C63" i="4" l="1"/>
  <c r="C54" i="4"/>
  <c r="C33" i="1"/>
  <c r="C31" i="4" l="1"/>
  <c r="C26" i="4"/>
  <c r="C33" i="4" l="1"/>
  <c r="C45" i="4" s="1"/>
  <c r="C47" i="4" l="1"/>
  <c r="C51" i="4" s="1"/>
  <c r="C46" i="4"/>
  <c r="C48" i="4" s="1"/>
  <c r="C34" i="4"/>
  <c r="C61" i="4" l="1"/>
  <c r="C52" i="4" l="1"/>
  <c r="C53" i="4" l="1"/>
  <c r="C56" i="4" s="1"/>
  <c r="C62" i="4" s="1"/>
</calcChain>
</file>

<file path=xl/comments1.xml><?xml version="1.0" encoding="utf-8"?>
<comments xmlns="http://schemas.openxmlformats.org/spreadsheetml/2006/main">
  <authors>
    <author>John Whitchurch</author>
  </authors>
  <commentList>
    <comment ref="J11" authorId="0" shapeId="0">
      <text>
        <r>
          <rPr>
            <b/>
            <sz val="9"/>
            <color indexed="81"/>
            <rFont val="Tahoma"/>
            <family val="2"/>
          </rPr>
          <t>John Whitchurch:</t>
        </r>
        <r>
          <rPr>
            <sz val="9"/>
            <color indexed="81"/>
            <rFont val="Tahoma"/>
            <family val="2"/>
          </rPr>
          <t xml:space="preserve">
This data is more than likely the no-load voltage at a given % charge.  The actual voltage will droop as the battery loads up.</t>
        </r>
      </text>
    </comment>
  </commentList>
</comments>
</file>

<file path=xl/sharedStrings.xml><?xml version="1.0" encoding="utf-8"?>
<sst xmlns="http://schemas.openxmlformats.org/spreadsheetml/2006/main" count="461" uniqueCount="433">
  <si>
    <t>Total Charges/year</t>
  </si>
  <si>
    <t>Battery Voltage</t>
  </si>
  <si>
    <t>V</t>
  </si>
  <si>
    <t>Average battery voltage during use</t>
  </si>
  <si>
    <t>Battery output capacity</t>
  </si>
  <si>
    <t>A-hr</t>
  </si>
  <si>
    <t>Battery output energy</t>
  </si>
  <si>
    <t>kWh</t>
  </si>
  <si>
    <t>Baseline energy/charge</t>
  </si>
  <si>
    <t>Upgraded energy/charge</t>
  </si>
  <si>
    <t>Baseline charger energy/year</t>
  </si>
  <si>
    <t>kWh/yr</t>
  </si>
  <si>
    <t>Upgraded charger energy/year</t>
  </si>
  <si>
    <t>Brand</t>
  </si>
  <si>
    <t>Make</t>
  </si>
  <si>
    <t>Model Number</t>
  </si>
  <si>
    <t>Ferroresonant</t>
  </si>
  <si>
    <t>High Frequency</t>
  </si>
  <si>
    <t>Charge Cycles/day</t>
  </si>
  <si>
    <t>Days/Week</t>
  </si>
  <si>
    <t>Weeks/year</t>
  </si>
  <si>
    <t>Weekday Charges/Year</t>
  </si>
  <si>
    <t>Battery Data</t>
  </si>
  <si>
    <t>Weekday Operation Data</t>
  </si>
  <si>
    <t>Weekend Operation Data</t>
  </si>
  <si>
    <t>CHARGER DATA</t>
  </si>
  <si>
    <t>OPERATIONAL  DATA</t>
  </si>
  <si>
    <t>Upgrade</t>
  </si>
  <si>
    <t>Vendor:</t>
  </si>
  <si>
    <t>Existing</t>
  </si>
  <si>
    <t>CUSTOMER DATA</t>
  </si>
  <si>
    <t>Installation Address (Street):</t>
  </si>
  <si>
    <t>Number of Chargers for Retrofit</t>
  </si>
  <si>
    <t>Technology (select)</t>
  </si>
  <si>
    <t>SCR</t>
  </si>
  <si>
    <t>Weekend Charges/Year</t>
  </si>
  <si>
    <t>Charge cycles/year/charger</t>
  </si>
  <si>
    <t>Total Operation Data</t>
  </si>
  <si>
    <r>
      <rPr>
        <b/>
        <sz val="11"/>
        <color theme="1"/>
        <rFont val="Calibri"/>
        <family val="2"/>
        <scheme val="minor"/>
      </rPr>
      <t>Grey cells</t>
    </r>
    <r>
      <rPr>
        <sz val="11"/>
        <color theme="1"/>
        <rFont val="Calibri"/>
        <family val="2"/>
        <scheme val="minor"/>
      </rPr>
      <t xml:space="preserve"> are calculated</t>
    </r>
  </si>
  <si>
    <r>
      <rPr>
        <b/>
        <sz val="11"/>
        <color theme="1"/>
        <rFont val="Calibri"/>
        <family val="2"/>
        <scheme val="minor"/>
      </rPr>
      <t>Yellow cells</t>
    </r>
    <r>
      <rPr>
        <sz val="11"/>
        <color theme="1"/>
        <rFont val="Calibri"/>
        <family val="2"/>
        <scheme val="minor"/>
      </rPr>
      <t xml:space="preserve"> are to be filled out by user</t>
    </r>
  </si>
  <si>
    <t>Eligible Incentive</t>
  </si>
  <si>
    <t>Estimated Incentive</t>
  </si>
  <si>
    <t>Based on kWh savings</t>
  </si>
  <si>
    <t>Lesser of Estimated Incentive or Project Cost</t>
  </si>
  <si>
    <t>Instructions</t>
  </si>
  <si>
    <t>Fill out "Site Data" tab</t>
  </si>
  <si>
    <t>Upload invoice(s), following instructions on "INVOICE UPLOAD" tab</t>
  </si>
  <si>
    <t>Submit file to eedocs@bpa.gov</t>
  </si>
  <si>
    <t>If you have issues, please contact your EER</t>
  </si>
  <si>
    <t xml:space="preserve">Technical contact: </t>
  </si>
  <si>
    <t>Nathan Kelly</t>
  </si>
  <si>
    <t>nckelly@bpa.gov</t>
  </si>
  <si>
    <t>OPERATIONAL DATA</t>
  </si>
  <si>
    <t>COST  DATA</t>
  </si>
  <si>
    <t>INCENTIVE CALCULATIONS</t>
  </si>
  <si>
    <t>Utility Cap</t>
  </si>
  <si>
    <t>(optional)</t>
  </si>
  <si>
    <t>INVOICE UPLOAD</t>
  </si>
  <si>
    <t xml:space="preserve">
For Additional Files, click on the cells to the right -----------&gt; 
as needed and follow the same instructions </t>
  </si>
  <si>
    <t>How to upload file(s) documenting Project Cost</t>
  </si>
  <si>
    <t>1.</t>
  </si>
  <si>
    <t>2.</t>
  </si>
  <si>
    <t>3.</t>
  </si>
  <si>
    <t>4.</t>
  </si>
  <si>
    <t>5.</t>
  </si>
  <si>
    <t>6.</t>
  </si>
  <si>
    <t>7.</t>
  </si>
  <si>
    <t>8.</t>
  </si>
  <si>
    <t>9.</t>
  </si>
  <si>
    <t>Click on this cell ---------------------------------&gt;</t>
  </si>
  <si>
    <t>From the Menu Bar -&gt; Click Insert</t>
  </si>
  <si>
    <t>From Insert -&gt; Click Object</t>
  </si>
  <si>
    <t>Select: Create From File</t>
  </si>
  <si>
    <t>Browse and select the file to be uploaded</t>
  </si>
  <si>
    <t>Check: Display as Icon (Do not Check Link to File, if option)</t>
  </si>
  <si>
    <t>Click on Change Icon</t>
  </si>
  <si>
    <t>Type your choice of file name in the caption line, click OK</t>
  </si>
  <si>
    <t>Hit OK</t>
  </si>
  <si>
    <t>Do the new battery chargers have a rated input power greater than 2 kW?</t>
  </si>
  <si>
    <t>Do the new battery chargers use less than 10 W of standby power?</t>
  </si>
  <si>
    <t>Fill out "Operational Data" tab</t>
  </si>
  <si>
    <t>Please include invoice with this project form on the INVOICE UPLOAD sheet.</t>
  </si>
  <si>
    <t>Customer Business Name:</t>
  </si>
  <si>
    <t>Site Contact Name:</t>
  </si>
  <si>
    <t>Site Contact Email:</t>
  </si>
  <si>
    <t>Customer Utility:</t>
  </si>
  <si>
    <t>Customer Phone Number:</t>
  </si>
  <si>
    <t>Are the new battery chargers high frequency chargers?</t>
  </si>
  <si>
    <t>70% of Project Cost:</t>
  </si>
  <si>
    <t>NO</t>
  </si>
  <si>
    <t>YES</t>
  </si>
  <si>
    <t>Installation Date:</t>
  </si>
  <si>
    <t>Are these battery chargers replacing existing equipment?</t>
  </si>
  <si>
    <t>Account_Name</t>
  </si>
  <si>
    <t>Description</t>
  </si>
  <si>
    <t>BES_Number</t>
  </si>
  <si>
    <t>--Select--</t>
  </si>
  <si>
    <t>ALBION</t>
  </si>
  <si>
    <t>City of Albion</t>
  </si>
  <si>
    <t>ALDER</t>
  </si>
  <si>
    <t>Alder Mutual Light Company</t>
  </si>
  <si>
    <t>ASHLAND</t>
  </si>
  <si>
    <t>City of Ashland</t>
  </si>
  <si>
    <t>ASOTIN PUD</t>
  </si>
  <si>
    <t>Public Utility District No. 1 of Asotin County</t>
  </si>
  <si>
    <t>BANDON</t>
  </si>
  <si>
    <t>City of Bandon</t>
  </si>
  <si>
    <t>BANGOR</t>
  </si>
  <si>
    <t>USN Bangor</t>
  </si>
  <si>
    <t>BENTON CO. PUD #1</t>
  </si>
  <si>
    <t>Public Utility District No. 1 of Benton County</t>
  </si>
  <si>
    <t>BENTON REA</t>
  </si>
  <si>
    <t>Benton Rural Electric Association</t>
  </si>
  <si>
    <t>BIG BEND ELECTRIC COOP.</t>
  </si>
  <si>
    <t>Big Bend Electric Cooperative</t>
  </si>
  <si>
    <t>BLACHLY-LANE ELECTRIC COOP</t>
  </si>
  <si>
    <t>Blachly-Lane Electric Cooperative</t>
  </si>
  <si>
    <t>BLAINE</t>
  </si>
  <si>
    <t>City of Blaine</t>
  </si>
  <si>
    <t>BONNERS FERRY</t>
  </si>
  <si>
    <t>City of Bonners Ferry</t>
  </si>
  <si>
    <t>BREMERTON</t>
  </si>
  <si>
    <t>USN Bremerton</t>
  </si>
  <si>
    <t>BURLEY</t>
  </si>
  <si>
    <t>City of Burley</t>
  </si>
  <si>
    <t>CANBY</t>
  </si>
  <si>
    <t>Canby Utility Board</t>
  </si>
  <si>
    <t>CASCADE LOCKS</t>
  </si>
  <si>
    <t>City of Cascade Locks</t>
  </si>
  <si>
    <t>CENTRAL ELECTRIC COOP.</t>
  </si>
  <si>
    <t>Central Electric Cooperative, Inc.</t>
  </si>
  <si>
    <t>CENTRAL LINCOLN PUD</t>
  </si>
  <si>
    <t>Central Lincoln People's Utility District</t>
  </si>
  <si>
    <t>CENTRALIA</t>
  </si>
  <si>
    <t>City of Centralia</t>
  </si>
  <si>
    <t>CHELAN CO. PUD #1</t>
  </si>
  <si>
    <t>Chelan Co. PUD #1</t>
  </si>
  <si>
    <t>CHENEY</t>
  </si>
  <si>
    <t>City of Cheney</t>
  </si>
  <si>
    <t>CHEWELAH</t>
  </si>
  <si>
    <t>City of Chewelah</t>
  </si>
  <si>
    <t>CLALLAM CO. PUD #1</t>
  </si>
  <si>
    <t>Public Utility District No. 1 of Clallam County</t>
  </si>
  <si>
    <t>CLARK CO. PUD #1</t>
  </si>
  <si>
    <t>Clark Public Utilities</t>
  </si>
  <si>
    <t>CLATSKANIE PUD</t>
  </si>
  <si>
    <t>Clatskanie People's Utility District</t>
  </si>
  <si>
    <t>CLEARWATER POWER CO.</t>
  </si>
  <si>
    <t>Clearwater Power Company</t>
  </si>
  <si>
    <t>COLUMBIA BASIN COOP.</t>
  </si>
  <si>
    <t>Columbia Basin Electric Cooperative, Inc.</t>
  </si>
  <si>
    <t>COLUMBIA POWER COOP.</t>
  </si>
  <si>
    <t>Columbia Power Cooperative Association</t>
  </si>
  <si>
    <t>COLUMBIA REA</t>
  </si>
  <si>
    <t>Columbia Rural Electric Association</t>
  </si>
  <si>
    <t>COLUMBIA RIVER PUD</t>
  </si>
  <si>
    <t>Columbia River People's Utility District</t>
  </si>
  <si>
    <t>CONSOLIDATED IRRIGATION DISTRICT #19</t>
  </si>
  <si>
    <t>Consolidated Irrigation District No. 19</t>
  </si>
  <si>
    <t>CONSUMERS POWER, INC.</t>
  </si>
  <si>
    <t>Consumers Power, Inc.</t>
  </si>
  <si>
    <t>COOS-CURRY ELECTRIC COOP.</t>
  </si>
  <si>
    <t>Coos-Curry Electric Cooperative, Inc.</t>
  </si>
  <si>
    <t>COULEE DAM</t>
  </si>
  <si>
    <t>Town of Coulee Dam</t>
  </si>
  <si>
    <t>COWLITZ CO. PUD #1</t>
  </si>
  <si>
    <t>Public Utility District No. 1 of Cowlitz County</t>
  </si>
  <si>
    <t>DECLO</t>
  </si>
  <si>
    <t>City of Declo</t>
  </si>
  <si>
    <t>DOUGLAS CO. PUD #1</t>
  </si>
  <si>
    <t>DOUGLAS ELECTRIC COOP.</t>
  </si>
  <si>
    <t>Douglas Electric Cooperative, Inc.</t>
  </si>
  <si>
    <t>DRAIN</t>
  </si>
  <si>
    <t>City of Drain</t>
  </si>
  <si>
    <t>EAST END</t>
  </si>
  <si>
    <t>East End Mutual Electric Company, LTD</t>
  </si>
  <si>
    <t>EATONVILLE</t>
  </si>
  <si>
    <t>Town of Eatonville</t>
  </si>
  <si>
    <t>ELLENSBURG</t>
  </si>
  <si>
    <t>City of Ellensburg</t>
  </si>
  <si>
    <t>ELMHURST</t>
  </si>
  <si>
    <t>Elmhurst Mutual Power &amp; Light Company</t>
  </si>
  <si>
    <t>EMERALD PUD</t>
  </si>
  <si>
    <t>Emerald People's Utility District</t>
  </si>
  <si>
    <t>ENERGY NORTHWEST</t>
  </si>
  <si>
    <t>Energy Northwest</t>
  </si>
  <si>
    <t>Eugene Water &amp; Electric Board</t>
  </si>
  <si>
    <t>EVERETT</t>
  </si>
  <si>
    <t>USN Everett-Jim Creek</t>
  </si>
  <si>
    <t>FAIRCHILD AIRFORCE BASE</t>
  </si>
  <si>
    <t>Fairchild Air Force Base</t>
  </si>
  <si>
    <t>FALL RIVER RURAL ELECTRIC COOP.</t>
  </si>
  <si>
    <t>Fall River Rural Electric Cooperative, Inc.</t>
  </si>
  <si>
    <t>FARMERS</t>
  </si>
  <si>
    <t>Farmers Electric Company, LTD</t>
  </si>
  <si>
    <t>FERRY CO. PUD #1</t>
  </si>
  <si>
    <t>Public Utility District No. 1 of Ferry County</t>
  </si>
  <si>
    <t>FIRCREST</t>
  </si>
  <si>
    <t>FLATHEAD ELECTRIC COOP.</t>
  </si>
  <si>
    <t>Flathead Electric Cooperative, Inc.</t>
  </si>
  <si>
    <t>FOREST GROVE</t>
  </si>
  <si>
    <t>City of Forest Grove</t>
  </si>
  <si>
    <t>FRANKLIN CO. PUD #1</t>
  </si>
  <si>
    <t>Public Utility District No. 1 of Franklin County</t>
  </si>
  <si>
    <t>GLACIER ELECTRIC COOP.</t>
  </si>
  <si>
    <t>Glacier Electric Cooperative, Inc.</t>
  </si>
  <si>
    <t>GRANT CO. PUD #2</t>
  </si>
  <si>
    <t>Public Utility District No. 2 of Grant County, Washington</t>
  </si>
  <si>
    <t>GRAYS HARBOR CO. PUD #1</t>
  </si>
  <si>
    <t>Public Utility District No. 1 of Grays Harbor County Washington</t>
  </si>
  <si>
    <t>HARNEY ELECTRIC COOP.</t>
  </si>
  <si>
    <t>Harney Electric Cooperative, Inc.</t>
  </si>
  <si>
    <t>HERMISTON ENERGY SERVICES</t>
  </si>
  <si>
    <t>City of Hermiston</t>
  </si>
  <si>
    <t>HEYBURN</t>
  </si>
  <si>
    <t>City of Heyburn</t>
  </si>
  <si>
    <t>HOOD RIVER ELECTRIC COOP.</t>
  </si>
  <si>
    <t>Hood River Electric Cooperative</t>
  </si>
  <si>
    <t>IDAHO CO. L &amp; P COOP.</t>
  </si>
  <si>
    <t>Idaho County Light &amp; Power Cooperative Association, Inc.</t>
  </si>
  <si>
    <t>IDAHO FALLS</t>
  </si>
  <si>
    <t>City of Idaho Falls</t>
  </si>
  <si>
    <t xml:space="preserve">INLAND POWER &amp; LIGHT </t>
  </si>
  <si>
    <t>Inland Power &amp; Light Company</t>
  </si>
  <si>
    <t>JEFFERSON</t>
  </si>
  <si>
    <t>Public Utility District No.1 of Jefferson County</t>
  </si>
  <si>
    <t>KITTITAS CO. PUD #1</t>
  </si>
  <si>
    <t>Public Utility District No. 1 of Kittitas County</t>
  </si>
  <si>
    <t>KLICKITAT CO. PUD #1</t>
  </si>
  <si>
    <t>Public Utility District No. 1 of Klickitat County</t>
  </si>
  <si>
    <t>KOOTENAI ELECTRIC COOP.</t>
  </si>
  <si>
    <t>Kootenai Electric Cooperative, Inc.</t>
  </si>
  <si>
    <t>KALISPEL</t>
  </si>
  <si>
    <t>Kalispel Indian Community of the Kalispel Reservation</t>
  </si>
  <si>
    <t>LAKEVIEW L &amp; P CO.</t>
  </si>
  <si>
    <t>Lakeview Light &amp; Power Company</t>
  </si>
  <si>
    <t>LANE ELECTRIC COOP.</t>
  </si>
  <si>
    <t>Lane Electric Cooperative, Inc.</t>
  </si>
  <si>
    <t>LEWIS CO. PUD #1</t>
  </si>
  <si>
    <t>Public Utility District No. 1 of Lewis County</t>
  </si>
  <si>
    <t>LINCOLN ELECTRIC COOP. MONT</t>
  </si>
  <si>
    <t>Lincoln Electric Cooperative, Inc.</t>
  </si>
  <si>
    <t>LOST RIVER ELECTRIC COOP.</t>
  </si>
  <si>
    <t>Lost River Electric Cooperative, Inc.</t>
  </si>
  <si>
    <t>LOWER VALLEY ENERGY</t>
  </si>
  <si>
    <t>Lower Valley Energy, Inc.</t>
  </si>
  <si>
    <t>MASON CO. PUD #1</t>
  </si>
  <si>
    <t>Public Utility District No. 1 of Mason County</t>
  </si>
  <si>
    <t>MASON CO. PUD #3</t>
  </si>
  <si>
    <t>Public Utility District No. 3 of Mason County</t>
  </si>
  <si>
    <t>MCCLEARY</t>
  </si>
  <si>
    <t>City of McCleary</t>
  </si>
  <si>
    <t>MCMINNVILLE</t>
  </si>
  <si>
    <t>The City of McMinnville</t>
  </si>
  <si>
    <t>MIDSTATE ELECTRIC COOP.</t>
  </si>
  <si>
    <t>Midstate Electric Cooperative, Inc.</t>
  </si>
  <si>
    <t>MILTON</t>
  </si>
  <si>
    <t>City of Milton</t>
  </si>
  <si>
    <t>MILTON-FREEWATER</t>
  </si>
  <si>
    <t>City of Milton-Freewater</t>
  </si>
  <si>
    <t>MINIDOKA</t>
  </si>
  <si>
    <t>City of Minidoka</t>
  </si>
  <si>
    <t>MISSION VALLEY POWER</t>
  </si>
  <si>
    <t>Mission Valley Power</t>
  </si>
  <si>
    <t>MISSOULA ELECTRIC COOP.</t>
  </si>
  <si>
    <t>Missoula Electric Cooperative, Inc.</t>
  </si>
  <si>
    <t>MODERN ELECTRIC WATER</t>
  </si>
  <si>
    <t>Modern Electric Water Company</t>
  </si>
  <si>
    <t>MONMOUTH</t>
  </si>
  <si>
    <t>City of Monmouth</t>
  </si>
  <si>
    <t>NESPELEM VALLEY ELECTRIC</t>
  </si>
  <si>
    <t>Nespelem Valley Electric Cooperative, Inc.</t>
  </si>
  <si>
    <t>NORTHERN LIGHTS, INC.</t>
  </si>
  <si>
    <t>Northern Lights, Inc.</t>
  </si>
  <si>
    <t>NORTHERN WASCO PUD</t>
  </si>
  <si>
    <t>Northern Wasco County People's Utility District</t>
  </si>
  <si>
    <t>OHOP MUTUAL</t>
  </si>
  <si>
    <t>Ohop Mutual Light Company</t>
  </si>
  <si>
    <t>OKANOGAN CO. ELECTRIC COOP.</t>
  </si>
  <si>
    <t>Okanogan County Electric Cooperative, Inc.</t>
  </si>
  <si>
    <t>OKANOGAN CO. PUD #1</t>
  </si>
  <si>
    <t>Okanogan County Public Utility District No. 1</t>
  </si>
  <si>
    <t>ORCAS POWER &amp; LIGHT COOP.</t>
  </si>
  <si>
    <t>Orcas Power &amp; Light Cooperative</t>
  </si>
  <si>
    <t>OREGON TRAIL ELECTRIC COOP.</t>
  </si>
  <si>
    <t>Oregon Trail Electric Consumers Cooperative, Inc.</t>
  </si>
  <si>
    <t>PACIFIC CO. PUD #2</t>
  </si>
  <si>
    <t>Public Utility District No. 2 of Pacific County</t>
  </si>
  <si>
    <t>PARKLAND P &amp; L</t>
  </si>
  <si>
    <t>Parkland Light &amp; Water Company</t>
  </si>
  <si>
    <t>PEND OREILLE CO. PUD #1</t>
  </si>
  <si>
    <t>Pend Oreille County PUD No. 1</t>
  </si>
  <si>
    <t>PENINSULA POWER &amp; LIGHT INC.</t>
  </si>
  <si>
    <t>Peninsula Light Company</t>
  </si>
  <si>
    <t>PLUMMER</t>
  </si>
  <si>
    <t>City of Plummer</t>
  </si>
  <si>
    <t>PNGC</t>
  </si>
  <si>
    <t>Pacific Northwest Generating Cooperative</t>
  </si>
  <si>
    <t>PORT ANGELES</t>
  </si>
  <si>
    <t>City of Port Angeles</t>
  </si>
  <si>
    <t>PORT OF SEATTLE</t>
  </si>
  <si>
    <t>Port of Seattle - Seattle-Tacoma International Airport</t>
  </si>
  <si>
    <t>RAFT RIVER ELECTRIC COOP.</t>
  </si>
  <si>
    <t>Raft River Rural Electric Cooperative, Inc.</t>
  </si>
  <si>
    <t>RAVALLI ELECTRIC COOP.</t>
  </si>
  <si>
    <t>Ravalli County Electric Cooperative, Inc.</t>
  </si>
  <si>
    <t>RICHLAND</t>
  </si>
  <si>
    <t>City of Richland, Washington</t>
  </si>
  <si>
    <t>RIVERSIDE</t>
  </si>
  <si>
    <t>Riverside Electric Company, LTD</t>
  </si>
  <si>
    <t>RUPERT</t>
  </si>
  <si>
    <t>City of Rupert</t>
  </si>
  <si>
    <t>SALEM ELECTRIC</t>
  </si>
  <si>
    <t>Salem Electric</t>
  </si>
  <si>
    <t>SALMON RIVER ELECTRIC COOP.</t>
  </si>
  <si>
    <t>Salmon River Electric Cooperative, Inc.</t>
  </si>
  <si>
    <t>SEATTLE</t>
  </si>
  <si>
    <t>City of Seattle, City Light Dept</t>
  </si>
  <si>
    <t>SKAMANIA CO. PUD #1</t>
  </si>
  <si>
    <t>Public Utility District #1 of Skamania County</t>
  </si>
  <si>
    <t>SNOHOMISH CO. PUD #1</t>
  </si>
  <si>
    <t>Public Utility District No. 1 Of Snohomish County</t>
  </si>
  <si>
    <t>SODA SPRINGS</t>
  </si>
  <si>
    <t>City of Soda Springs</t>
  </si>
  <si>
    <t>SOUTH SIDE ELECTRIC</t>
  </si>
  <si>
    <t>South Side Electric, Inc.</t>
  </si>
  <si>
    <t>SPRINGFIELD</t>
  </si>
  <si>
    <t>Springfield Utility Board</t>
  </si>
  <si>
    <t>STEILACOOM</t>
  </si>
  <si>
    <t>Town of Steilacoom</t>
  </si>
  <si>
    <t>SUMAS</t>
  </si>
  <si>
    <t>City of Sumas</t>
  </si>
  <si>
    <t>SURPRISE VALLEY ELECTRIC CORP.</t>
  </si>
  <si>
    <t>Surprise Valley Electrification Corporation</t>
  </si>
  <si>
    <t>TACOMA POWER</t>
  </si>
  <si>
    <t>Tacoma Power</t>
  </si>
  <si>
    <t>TANNER ELECTRIC</t>
  </si>
  <si>
    <t>Tanner Electric Cooperative</t>
  </si>
  <si>
    <t>TILLAMOOK PUD</t>
  </si>
  <si>
    <t>Tillamook People's Utility District</t>
  </si>
  <si>
    <t>TROY</t>
  </si>
  <si>
    <t>City of Troy</t>
  </si>
  <si>
    <t>UMATILLA ELECTRIC COOP.</t>
  </si>
  <si>
    <t>Umatilla Electric Cooperative</t>
  </si>
  <si>
    <t>UMPQUA INDIAN UTILITY COOP</t>
  </si>
  <si>
    <t>Umpqua Indian Utility Cooperative</t>
  </si>
  <si>
    <t>UNITED ELECTRIC COOPERATIVE, INC.</t>
  </si>
  <si>
    <t>United Electric Co-op, Inc.</t>
  </si>
  <si>
    <t>US BIA WAPATO</t>
  </si>
  <si>
    <t>US BIA - Wapato</t>
  </si>
  <si>
    <t>US DOE NATIONAL TECHNOLOGY LAB</t>
  </si>
  <si>
    <t>US DOE Natl Energy Technology Lab</t>
  </si>
  <si>
    <t>US DOE RICHLAND</t>
  </si>
  <si>
    <t>US Department of Energy - Richland Operations Office</t>
  </si>
  <si>
    <t>VERA WATER &amp; POWER</t>
  </si>
  <si>
    <t>Vera Water &amp; Power</t>
  </si>
  <si>
    <t>VIGILANTE ELECTRIC COOP.</t>
  </si>
  <si>
    <t>Vigilante Electric Cooperative, Inc.</t>
  </si>
  <si>
    <t>WAHKIAKUM CO. PUD #1</t>
  </si>
  <si>
    <t>Public Utility District No. 1 of Wahkiakum County</t>
  </si>
  <si>
    <t>WASCO ELECTRIC COOP.</t>
  </si>
  <si>
    <t>Wasco Electric Cooperative, Inc.</t>
  </si>
  <si>
    <t>WEISER</t>
  </si>
  <si>
    <t>City of Weiser</t>
  </si>
  <si>
    <t>WELLS RURAL ELECTRIC</t>
  </si>
  <si>
    <t>Wells Rural Electric Company</t>
  </si>
  <si>
    <t>WEST OREGON ELECTRIC COOP.</t>
  </si>
  <si>
    <t>West Oregon Electric Cooperative, Inc.</t>
  </si>
  <si>
    <t>WHATCOM</t>
  </si>
  <si>
    <t>Public Utility District No 1 of Whatcom County</t>
  </si>
  <si>
    <t>YAKAMA POWER</t>
  </si>
  <si>
    <t>Yakama Power</t>
  </si>
  <si>
    <t>Total Annual Site Energy Savings</t>
  </si>
  <si>
    <t>Total Annual Busbar Energy Savings</t>
  </si>
  <si>
    <t>Busbar Factor</t>
  </si>
  <si>
    <t>Final State of Charge before charge cycle</t>
  </si>
  <si>
    <t>Estimated Equipment Cost:</t>
  </si>
  <si>
    <t>Estimated Freight:</t>
  </si>
  <si>
    <t>Estimated Installation Cost:</t>
  </si>
  <si>
    <t>Estimated Tax, if applicable:</t>
  </si>
  <si>
    <t>Total Project Cost:</t>
  </si>
  <si>
    <t>ENTER THE FOLLOWING VALUES IN THE DEEMED MEASURE UPLOAD:</t>
  </si>
  <si>
    <t>Reference Number (Column C):</t>
  </si>
  <si>
    <t>Quantity (Column D):</t>
  </si>
  <si>
    <t>Calculator Savings per Unit (Column R):</t>
  </si>
  <si>
    <t>Calculator Reimbursement (Column S):</t>
  </si>
  <si>
    <t>Calculator Project Cost (Column T):</t>
  </si>
  <si>
    <t>BATTERY CHARGER ENERGY SAVINGS CALCULATOR</t>
  </si>
  <si>
    <t>IPLPL30140</t>
  </si>
  <si>
    <t>City:</t>
  </si>
  <si>
    <t>State:</t>
  </si>
  <si>
    <t>Zip:</t>
  </si>
  <si>
    <t>Sector:</t>
  </si>
  <si>
    <t xml:space="preserve">Industrial </t>
  </si>
  <si>
    <t>Commercial</t>
  </si>
  <si>
    <t>Ag</t>
  </si>
  <si>
    <t>https://www.pge.com/includes/docs/pdfs/mybusiness/energysavingsrebates/moneybacksolutions/grocery/fb_ib/forklift_battery_charger_fs.pdf</t>
  </si>
  <si>
    <t>Source for standby power</t>
  </si>
  <si>
    <t>Standby Power</t>
  </si>
  <si>
    <t>W</t>
  </si>
  <si>
    <t>This assume 8 hours/charge</t>
  </si>
  <si>
    <t>6V Battery</t>
  </si>
  <si>
    <t>12V Battery</t>
  </si>
  <si>
    <t>24V Battery</t>
  </si>
  <si>
    <t>48V Battery</t>
  </si>
  <si>
    <t>% Charge</t>
  </si>
  <si>
    <t>Average:</t>
  </si>
  <si>
    <t>Battery Voltage at Varying States of Charge</t>
  </si>
  <si>
    <t xml:space="preserve">% Nominal: </t>
  </si>
  <si>
    <t>Battery Round Trip Efficiency</t>
  </si>
  <si>
    <t>Charger Conversion Efficiency</t>
  </si>
  <si>
    <t>http://www.worldwideforklifts.com/FORKLIFTBATTERYStateofChargeChart.pdf</t>
  </si>
  <si>
    <t>8V Battery</t>
  </si>
  <si>
    <t>36V Battery</t>
  </si>
  <si>
    <t>Upgraded standby energy</t>
  </si>
  <si>
    <t>Baseline standby energy</t>
  </si>
  <si>
    <t>Rev No</t>
  </si>
  <si>
    <t>Date Published</t>
  </si>
  <si>
    <t>Notes</t>
  </si>
  <si>
    <t>v 1.1</t>
  </si>
  <si>
    <t>Original Release</t>
  </si>
  <si>
    <t>future?</t>
  </si>
  <si>
    <t>Do we need to add a section for charger nameplate data?  Having basic charger nameplate info would allow basic checks and error messages</t>
  </si>
  <si>
    <t xml:space="preserve">ultra-high frequency charger option at 94% efficiency? </t>
  </si>
  <si>
    <t>option for charging time (6 vs 8 hours)</t>
  </si>
  <si>
    <t>initial state of charge (for opportunity chargers)</t>
  </si>
  <si>
    <t>Energy Analysis</t>
  </si>
  <si>
    <t>Included Idle/standby
89%-&gt;85% baseline
Battery round trip efficiency of 80% included
average battery voltage during use factor changed to 102%
added error checking (days per week, hours per day, not more than 24 hours/day of charging time, weeks/year, charger types, cost required, # of chargers required)
added a version number for internal tracking
Renamed "Technology Efficiency" to "Energy Analysis"</t>
  </si>
  <si>
    <t>Battery Round Trip Efficiency accounts for the energy losses during the charging and discharge of the battery that must be provided by the charger in addition to the battery's rated output. 80% round trip efficiency was noted in a few places online.  This assumption needs a better source to back it up.</t>
  </si>
  <si>
    <t>NOTE</t>
  </si>
  <si>
    <t>THERE IS A 7 MB FILE SIZE LIMIT FOR SUBMITTAL</t>
  </si>
  <si>
    <t>EWEB</t>
  </si>
  <si>
    <t>Calculator BC Ratio (Column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</si>
</sst>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Red]\-#,##0"/>
    <numFmt numFmtId="165" formatCode="0.0"/>
    <numFmt numFmtId="166" formatCode="#,##0.0;[Red]\-#,##0.0"/>
    <numFmt numFmtId="167" formatCode="0.0%"/>
  </numFmts>
  <fonts count="20" x14ac:knownFonts="1">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b/>
      <sz val="18"/>
      <color theme="1"/>
      <name val="Calibri"/>
      <family val="2"/>
      <scheme val="minor"/>
    </font>
    <font>
      <sz val="11"/>
      <color rgb="FFFF0000"/>
      <name val="Calibri"/>
      <family val="2"/>
      <scheme val="minor"/>
    </font>
    <font>
      <b/>
      <sz val="11"/>
      <name val="Calibri"/>
      <family val="2"/>
      <scheme val="minor"/>
    </font>
    <font>
      <sz val="11"/>
      <color theme="1"/>
      <name val="Calibri"/>
      <family val="2"/>
      <scheme val="minor"/>
    </font>
    <font>
      <sz val="10"/>
      <color theme="1"/>
      <name val="Arial"/>
      <family val="2"/>
    </font>
    <font>
      <u/>
      <sz val="11"/>
      <color theme="10"/>
      <name val="Calibri"/>
      <family val="2"/>
      <scheme val="minor"/>
    </font>
    <font>
      <b/>
      <sz val="12"/>
      <color indexed="9"/>
      <name val="Arial"/>
      <family val="2"/>
    </font>
    <font>
      <sz val="10"/>
      <color indexed="8"/>
      <name val="Arial"/>
      <family val="2"/>
    </font>
    <font>
      <b/>
      <sz val="14"/>
      <color theme="0"/>
      <name val="Calibri"/>
      <family val="2"/>
      <scheme val="minor"/>
    </font>
    <font>
      <b/>
      <sz val="12"/>
      <color theme="1"/>
      <name val="Calibri"/>
      <family val="2"/>
      <scheme val="minor"/>
    </font>
    <font>
      <b/>
      <sz val="17.5"/>
      <color theme="1"/>
      <name val="Calibri"/>
      <family val="2"/>
      <scheme val="minor"/>
    </font>
    <font>
      <sz val="11"/>
      <color rgb="FF0000FF"/>
      <name val="Calibri"/>
      <family val="2"/>
      <scheme val="minor"/>
    </font>
    <font>
      <sz val="9"/>
      <color indexed="81"/>
      <name val="Tahoma"/>
      <family val="2"/>
    </font>
    <font>
      <b/>
      <sz val="9"/>
      <color indexed="81"/>
      <name val="Tahoma"/>
      <family val="2"/>
    </font>
    <font>
      <b/>
      <sz val="8"/>
      <color rgb="FF000000"/>
      <name val="Century Gothic"/>
      <family val="2"/>
    </font>
    <font>
      <b/>
      <sz val="11"/>
      <color rgb="FFFF0000"/>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44"/>
        <bgColor indexed="64"/>
      </patternFill>
    </fill>
    <fill>
      <patternFill patternType="solid">
        <fgColor indexed="47"/>
        <bgColor indexed="64"/>
      </patternFill>
    </fill>
    <fill>
      <patternFill patternType="solid">
        <fgColor rgb="FFFFFF00"/>
        <bgColor indexed="64"/>
      </patternFill>
    </fill>
    <fill>
      <patternFill patternType="solid">
        <fgColor indexed="2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007681"/>
        <bgColor indexed="64"/>
      </patternFill>
    </fill>
    <fill>
      <patternFill patternType="solid">
        <fgColor theme="0"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s>
  <cellStyleXfs count="34">
    <xf numFmtId="0" fontId="0" fillId="0" borderId="0"/>
    <xf numFmtId="0" fontId="3" fillId="0" borderId="0"/>
    <xf numFmtId="0" fontId="3" fillId="0" borderId="0"/>
    <xf numFmtId="44" fontId="7" fillId="0" borderId="0" applyFont="0" applyFill="0" applyBorder="0" applyAlignment="0" applyProtection="0"/>
    <xf numFmtId="0" fontId="8" fillId="0" borderId="0"/>
    <xf numFmtId="0" fontId="3"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0" fontId="3" fillId="5" borderId="0" applyNumberFormat="0" applyAlignment="0">
      <alignment horizontal="right"/>
    </xf>
    <xf numFmtId="0" fontId="3" fillId="6" borderId="0" applyNumberFormat="0" applyAlignment="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3" fillId="0" borderId="0"/>
    <xf numFmtId="0" fontId="7" fillId="0" borderId="0"/>
    <xf numFmtId="0" fontId="3" fillId="0" borderId="0"/>
    <xf numFmtId="0" fontId="7" fillId="0" borderId="0"/>
    <xf numFmtId="0" fontId="7" fillId="0" borderId="0"/>
    <xf numFmtId="9" fontId="3" fillId="0" borderId="0" applyFont="0" applyFill="0" applyBorder="0" applyAlignment="0" applyProtection="0"/>
    <xf numFmtId="0" fontId="3" fillId="0" borderId="0"/>
    <xf numFmtId="0" fontId="9" fillId="0" borderId="0" applyNumberFormat="0" applyFill="0" applyBorder="0" applyAlignment="0" applyProtection="0"/>
  </cellStyleXfs>
  <cellXfs count="137">
    <xf numFmtId="0" fontId="0" fillId="0" borderId="0" xfId="0"/>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right"/>
    </xf>
    <xf numFmtId="0" fontId="1" fillId="0" borderId="0" xfId="0" applyFont="1" applyAlignment="1">
      <alignment horizontal="center"/>
    </xf>
    <xf numFmtId="1" fontId="0" fillId="0" borderId="0" xfId="0" quotePrefix="1" applyNumberFormat="1" applyFill="1" applyBorder="1" applyAlignment="1">
      <alignment horizontal="right"/>
    </xf>
    <xf numFmtId="0" fontId="0" fillId="0" borderId="0" xfId="0" applyBorder="1" applyAlignment="1">
      <alignment horizontal="center"/>
    </xf>
    <xf numFmtId="0" fontId="1" fillId="0" borderId="0" xfId="0" applyFont="1" applyBorder="1"/>
    <xf numFmtId="1" fontId="1" fillId="0" borderId="0" xfId="0" quotePrefix="1" applyNumberFormat="1" applyFont="1" applyFill="1" applyBorder="1" applyAlignment="1">
      <alignment horizontal="left"/>
    </xf>
    <xf numFmtId="0" fontId="0" fillId="0" borderId="0" xfId="0" applyFill="1" applyBorder="1" applyAlignment="1">
      <alignment horizontal="right"/>
    </xf>
    <xf numFmtId="0" fontId="0" fillId="0" borderId="0" xfId="0" quotePrefix="1" applyFill="1" applyBorder="1" applyAlignment="1">
      <alignment horizontal="right"/>
    </xf>
    <xf numFmtId="0" fontId="1" fillId="0" borderId="0" xfId="0" quotePrefix="1" applyFont="1" applyFill="1" applyBorder="1" applyAlignment="1">
      <alignment horizontal="left"/>
    </xf>
    <xf numFmtId="0" fontId="2" fillId="4" borderId="0" xfId="0" applyFont="1" applyFill="1" applyAlignment="1">
      <alignment horizontal="left"/>
    </xf>
    <xf numFmtId="0" fontId="0" fillId="4" borderId="0" xfId="0" applyFill="1"/>
    <xf numFmtId="0" fontId="2" fillId="0" borderId="0" xfId="0" applyFont="1" applyFill="1" applyAlignment="1">
      <alignment horizontal="left"/>
    </xf>
    <xf numFmtId="0" fontId="0" fillId="0" borderId="0" xfId="0" applyFill="1"/>
    <xf numFmtId="0" fontId="0" fillId="0" borderId="0" xfId="0" applyFill="1" applyAlignment="1">
      <alignment horizontal="right"/>
    </xf>
    <xf numFmtId="0" fontId="0" fillId="4" borderId="0" xfId="0" applyFill="1" applyAlignment="1">
      <alignment horizontal="center"/>
    </xf>
    <xf numFmtId="0" fontId="1" fillId="0" borderId="0" xfId="0" applyFont="1" applyFill="1" applyAlignment="1">
      <alignment horizontal="center"/>
    </xf>
    <xf numFmtId="0" fontId="1" fillId="0" borderId="0" xfId="0" applyFont="1" applyAlignment="1">
      <alignment horizontal="right"/>
    </xf>
    <xf numFmtId="9" fontId="0" fillId="3" borderId="1" xfId="0" applyNumberFormat="1" applyFill="1" applyBorder="1" applyAlignment="1">
      <alignment horizontal="center"/>
    </xf>
    <xf numFmtId="0" fontId="1" fillId="0" borderId="0" xfId="0" applyFont="1" applyFill="1" applyBorder="1" applyAlignment="1">
      <alignment horizontal="left"/>
    </xf>
    <xf numFmtId="0" fontId="0" fillId="0" borderId="0" xfId="0" applyFont="1"/>
    <xf numFmtId="0" fontId="0" fillId="0" borderId="0" xfId="0" applyFill="1" applyBorder="1" applyAlignment="1">
      <alignment horizontal="left"/>
    </xf>
    <xf numFmtId="0" fontId="6" fillId="0" borderId="0" xfId="0" applyFont="1"/>
    <xf numFmtId="0" fontId="5" fillId="0" borderId="0" xfId="0" applyFont="1"/>
    <xf numFmtId="0" fontId="1" fillId="0" borderId="0" xfId="0" applyFont="1"/>
    <xf numFmtId="0" fontId="0" fillId="0" borderId="0" xfId="0" applyBorder="1"/>
    <xf numFmtId="0" fontId="1" fillId="0" borderId="0" xfId="0" quotePrefix="1" applyFont="1"/>
    <xf numFmtId="0" fontId="1" fillId="0" borderId="0" xfId="0" applyFont="1" applyBorder="1" applyAlignment="1">
      <alignment vertical="center" wrapText="1"/>
    </xf>
    <xf numFmtId="0" fontId="0" fillId="0" borderId="0" xfId="0"/>
    <xf numFmtId="0" fontId="0" fillId="0" borderId="0" xfId="0" applyAlignment="1">
      <alignment horizontal="right"/>
    </xf>
    <xf numFmtId="0" fontId="2" fillId="4" borderId="0" xfId="0" applyFont="1" applyFill="1" applyAlignment="1">
      <alignment horizontal="left"/>
    </xf>
    <xf numFmtId="0" fontId="0" fillId="4" borderId="0" xfId="0" applyFill="1"/>
    <xf numFmtId="0" fontId="0" fillId="4" borderId="0" xfId="0" applyFill="1" applyAlignment="1">
      <alignment horizontal="center"/>
    </xf>
    <xf numFmtId="0" fontId="4" fillId="0" borderId="0" xfId="0" applyFont="1"/>
    <xf numFmtId="0" fontId="1" fillId="0" borderId="0" xfId="0" applyFont="1"/>
    <xf numFmtId="0" fontId="1" fillId="0" borderId="0" xfId="0" applyFont="1" applyBorder="1"/>
    <xf numFmtId="0" fontId="0" fillId="0" borderId="0" xfId="0" applyBorder="1"/>
    <xf numFmtId="0" fontId="1" fillId="0" borderId="0" xfId="0" applyFont="1" applyAlignment="1">
      <alignment horizontal="left"/>
    </xf>
    <xf numFmtId="0" fontId="9" fillId="0" borderId="0" xfId="33"/>
    <xf numFmtId="0" fontId="1" fillId="0" borderId="0" xfId="0" applyFont="1" applyBorder="1" applyAlignment="1">
      <alignment wrapText="1"/>
    </xf>
    <xf numFmtId="0" fontId="1" fillId="0" borderId="0" xfId="0" applyFont="1" applyFill="1" applyBorder="1"/>
    <xf numFmtId="0" fontId="0" fillId="4" borderId="0" xfId="0" applyFill="1"/>
    <xf numFmtId="0" fontId="1" fillId="0" borderId="0" xfId="0" applyFont="1" applyBorder="1"/>
    <xf numFmtId="0" fontId="10" fillId="8" borderId="0" xfId="0" applyFont="1" applyFill="1" applyAlignment="1" applyProtection="1">
      <alignment horizontal="center" wrapText="1"/>
    </xf>
    <xf numFmtId="0" fontId="0" fillId="0" borderId="0" xfId="0" quotePrefix="1"/>
    <xf numFmtId="0" fontId="0" fillId="0" borderId="0" xfId="0" applyProtection="1"/>
    <xf numFmtId="0" fontId="0" fillId="0" borderId="0" xfId="0" applyFill="1" applyProtection="1"/>
    <xf numFmtId="0" fontId="11" fillId="0" borderId="14" xfId="0" applyFont="1" applyFill="1" applyBorder="1" applyAlignment="1" applyProtection="1">
      <alignment horizontal="right" wrapText="1"/>
    </xf>
    <xf numFmtId="0" fontId="0" fillId="0" borderId="14" xfId="0" applyFill="1" applyBorder="1" applyProtection="1"/>
    <xf numFmtId="0" fontId="11" fillId="0" borderId="0" xfId="0" applyFont="1" applyFill="1" applyAlignment="1" applyProtection="1">
      <alignment horizontal="right" wrapText="1"/>
    </xf>
    <xf numFmtId="1" fontId="3" fillId="0" borderId="0" xfId="0" applyNumberFormat="1" applyFont="1" applyFill="1" applyAlignment="1" applyProtection="1">
      <alignment horizontal="left"/>
    </xf>
    <xf numFmtId="0" fontId="1" fillId="0" borderId="7" xfId="0" applyFont="1" applyBorder="1" applyAlignment="1">
      <alignment horizontal="center"/>
    </xf>
    <xf numFmtId="3" fontId="1" fillId="3" borderId="7" xfId="0" applyNumberFormat="1" applyFont="1" applyFill="1" applyBorder="1" applyAlignment="1">
      <alignment horizontal="right"/>
    </xf>
    <xf numFmtId="44" fontId="1" fillId="3" borderId="7" xfId="3" applyNumberFormat="1" applyFont="1" applyFill="1" applyBorder="1" applyAlignment="1">
      <alignment horizontal="right"/>
    </xf>
    <xf numFmtId="44" fontId="1" fillId="7" borderId="7" xfId="0" applyNumberFormat="1" applyFont="1" applyFill="1" applyBorder="1" applyAlignment="1">
      <alignment horizontal="right"/>
    </xf>
    <xf numFmtId="0" fontId="0" fillId="3" borderId="1" xfId="0" applyFill="1" applyBorder="1" applyAlignment="1">
      <alignment horizontal="right"/>
    </xf>
    <xf numFmtId="164" fontId="0" fillId="3" borderId="1" xfId="0" applyNumberFormat="1" applyFill="1" applyBorder="1" applyAlignment="1">
      <alignment horizontal="right"/>
    </xf>
    <xf numFmtId="9" fontId="0" fillId="3" borderId="1" xfId="0" applyNumberFormat="1" applyFill="1" applyBorder="1" applyAlignment="1">
      <alignment horizontal="right"/>
    </xf>
    <xf numFmtId="165" fontId="0" fillId="3" borderId="1" xfId="0" applyNumberFormat="1" applyFill="1" applyBorder="1" applyAlignment="1">
      <alignment horizontal="right"/>
    </xf>
    <xf numFmtId="3" fontId="0" fillId="3" borderId="1" xfId="0" applyNumberFormat="1" applyFill="1" applyBorder="1" applyAlignment="1">
      <alignment horizontal="right"/>
    </xf>
    <xf numFmtId="0" fontId="0" fillId="0" borderId="0" xfId="0" quotePrefix="1" applyFill="1" applyBorder="1" applyAlignment="1">
      <alignment horizontal="left"/>
    </xf>
    <xf numFmtId="0" fontId="0" fillId="0" borderId="0" xfId="0" quotePrefix="1" applyFill="1" applyBorder="1" applyAlignment="1"/>
    <xf numFmtId="44" fontId="1" fillId="9" borderId="1" xfId="0" applyNumberFormat="1" applyFont="1" applyFill="1" applyBorder="1" applyAlignment="1">
      <alignment horizontal="right"/>
    </xf>
    <xf numFmtId="0" fontId="12" fillId="4" borderId="0" xfId="0" applyFont="1" applyFill="1" applyAlignment="1">
      <alignment horizontal="left"/>
    </xf>
    <xf numFmtId="0" fontId="13" fillId="10" borderId="15" xfId="0" applyFont="1" applyFill="1" applyBorder="1" applyAlignment="1">
      <alignment horizontal="right"/>
    </xf>
    <xf numFmtId="0" fontId="13" fillId="10" borderId="15" xfId="0" applyFont="1" applyFill="1" applyBorder="1" applyAlignment="1">
      <alignment horizontal="center"/>
    </xf>
    <xf numFmtId="3" fontId="13" fillId="10" borderId="15" xfId="0" applyNumberFormat="1" applyFont="1" applyFill="1" applyBorder="1" applyAlignment="1">
      <alignment horizontal="right"/>
    </xf>
    <xf numFmtId="44" fontId="13" fillId="10" borderId="15" xfId="0" applyNumberFormat="1" applyFont="1" applyFill="1" applyBorder="1"/>
    <xf numFmtId="0" fontId="0" fillId="2" borderId="1" xfId="0" applyFill="1" applyBorder="1" applyAlignment="1" applyProtection="1">
      <protection locked="0"/>
    </xf>
    <xf numFmtId="0" fontId="1" fillId="7" borderId="7" xfId="0" applyFont="1"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1" xfId="0" applyBorder="1" applyAlignment="1" applyProtection="1">
      <alignment horizontal="center"/>
      <protection locked="0"/>
    </xf>
    <xf numFmtId="44" fontId="0" fillId="2" borderId="1" xfId="0" applyNumberFormat="1" applyFont="1" applyFill="1" applyBorder="1" applyAlignment="1" applyProtection="1">
      <alignment horizontal="right"/>
      <protection locked="0"/>
    </xf>
    <xf numFmtId="44" fontId="0" fillId="2" borderId="15" xfId="0" applyNumberFormat="1" applyFont="1" applyFill="1" applyBorder="1" applyAlignment="1" applyProtection="1">
      <alignment horizontal="right"/>
      <protection locked="0"/>
    </xf>
    <xf numFmtId="0" fontId="0" fillId="2" borderId="1" xfId="0" applyFill="1" applyBorder="1" applyAlignment="1" applyProtection="1">
      <alignment horizontal="right"/>
      <protection locked="0"/>
    </xf>
    <xf numFmtId="44" fontId="1" fillId="2" borderId="7" xfId="3" applyNumberFormat="1" applyFont="1" applyFill="1" applyBorder="1" applyAlignment="1" applyProtection="1">
      <alignment horizontal="right"/>
      <protection locked="0"/>
    </xf>
    <xf numFmtId="0" fontId="4" fillId="0" borderId="0" xfId="0" applyFont="1" applyAlignment="1">
      <alignment horizontal="right"/>
    </xf>
    <xf numFmtId="0" fontId="14" fillId="0" borderId="0" xfId="0" applyFont="1"/>
    <xf numFmtId="0" fontId="1" fillId="0" borderId="0" xfId="0" applyFont="1" applyAlignment="1">
      <alignment horizontal="left"/>
    </xf>
    <xf numFmtId="0" fontId="10" fillId="8" borderId="0" xfId="0" applyFont="1" applyFill="1" applyAlignment="1" applyProtection="1">
      <alignment horizontal="left"/>
    </xf>
    <xf numFmtId="0" fontId="2" fillId="11" borderId="23" xfId="0" applyFont="1" applyFill="1" applyBorder="1" applyAlignment="1">
      <alignment horizontal="center"/>
    </xf>
    <xf numFmtId="0" fontId="1" fillId="0" borderId="19" xfId="0" applyFont="1" applyBorder="1" applyAlignment="1">
      <alignment horizontal="centerContinuous" wrapText="1"/>
    </xf>
    <xf numFmtId="0" fontId="1" fillId="0" borderId="21" xfId="0" applyFont="1" applyBorder="1" applyAlignment="1">
      <alignment horizontal="centerContinuous" wrapText="1"/>
    </xf>
    <xf numFmtId="0" fontId="1" fillId="0" borderId="22" xfId="0" applyFont="1" applyBorder="1" applyAlignment="1">
      <alignment horizontal="centerContinuous" wrapText="1"/>
    </xf>
    <xf numFmtId="9" fontId="0" fillId="0" borderId="28" xfId="0" applyNumberFormat="1" applyBorder="1" applyAlignment="1">
      <alignment wrapText="1"/>
    </xf>
    <xf numFmtId="9" fontId="0" fillId="0" borderId="31" xfId="0" applyNumberFormat="1" applyBorder="1" applyAlignment="1">
      <alignment wrapText="1"/>
    </xf>
    <xf numFmtId="167" fontId="2" fillId="11" borderId="24" xfId="0" applyNumberFormat="1" applyFont="1" applyFill="1" applyBorder="1" applyAlignment="1">
      <alignment horizontal="center"/>
    </xf>
    <xf numFmtId="167" fontId="2" fillId="11" borderId="25" xfId="0" applyNumberFormat="1" applyFont="1" applyFill="1" applyBorder="1" applyAlignment="1">
      <alignment horizontal="center"/>
    </xf>
    <xf numFmtId="2" fontId="15" fillId="0" borderId="29" xfId="0" applyNumberFormat="1" applyFont="1" applyBorder="1" applyAlignment="1">
      <alignment horizontal="center" wrapText="1"/>
    </xf>
    <xf numFmtId="2" fontId="15" fillId="0" borderId="30" xfId="0" applyNumberFormat="1" applyFont="1" applyBorder="1" applyAlignment="1">
      <alignment horizontal="center" wrapText="1"/>
    </xf>
    <xf numFmtId="2" fontId="15" fillId="0" borderId="32" xfId="0" applyNumberFormat="1" applyFont="1" applyBorder="1" applyAlignment="1">
      <alignment horizontal="center" wrapText="1"/>
    </xf>
    <xf numFmtId="2" fontId="15" fillId="0" borderId="33" xfId="0" applyNumberFormat="1" applyFont="1" applyBorder="1" applyAlignment="1">
      <alignment horizontal="center" wrapText="1"/>
    </xf>
    <xf numFmtId="0" fontId="0" fillId="0" borderId="20" xfId="0" applyFill="1" applyBorder="1" applyAlignment="1">
      <alignment horizontal="center" wrapText="1"/>
    </xf>
    <xf numFmtId="0" fontId="0" fillId="0" borderId="26" xfId="0" applyFill="1" applyBorder="1" applyAlignment="1">
      <alignment horizontal="center" wrapText="1"/>
    </xf>
    <xf numFmtId="0" fontId="0" fillId="0" borderId="27" xfId="0" applyFill="1" applyBorder="1" applyAlignment="1">
      <alignment horizontal="center" wrapText="1"/>
    </xf>
    <xf numFmtId="9" fontId="0" fillId="0" borderId="34" xfId="0" applyNumberFormat="1" applyBorder="1" applyAlignment="1">
      <alignment wrapText="1"/>
    </xf>
    <xf numFmtId="0" fontId="2" fillId="12" borderId="37" xfId="0" applyFont="1" applyFill="1" applyBorder="1" applyAlignment="1">
      <alignment horizontal="center"/>
    </xf>
    <xf numFmtId="2" fontId="2" fillId="12" borderId="38" xfId="0" applyNumberFormat="1" applyFont="1" applyFill="1" applyBorder="1" applyAlignment="1">
      <alignment horizontal="center"/>
    </xf>
    <xf numFmtId="2" fontId="2" fillId="12" borderId="39" xfId="0" applyNumberFormat="1" applyFont="1" applyFill="1" applyBorder="1" applyAlignment="1">
      <alignment horizontal="center"/>
    </xf>
    <xf numFmtId="2" fontId="15" fillId="0" borderId="35" xfId="0" applyNumberFormat="1" applyFont="1" applyBorder="1" applyAlignment="1">
      <alignment horizontal="center" wrapText="1"/>
    </xf>
    <xf numFmtId="2" fontId="15" fillId="0" borderId="36" xfId="0" applyNumberFormat="1" applyFont="1" applyBorder="1" applyAlignment="1">
      <alignment horizontal="center" wrapText="1"/>
    </xf>
    <xf numFmtId="0" fontId="18" fillId="0" borderId="0" xfId="0" applyFont="1" applyAlignment="1">
      <alignment vertical="center" wrapText="1"/>
    </xf>
    <xf numFmtId="15" fontId="0" fillId="0" borderId="0" xfId="0" applyNumberFormat="1"/>
    <xf numFmtId="0" fontId="0" fillId="0" borderId="0" xfId="0" applyAlignment="1">
      <alignment wrapText="1"/>
    </xf>
    <xf numFmtId="0" fontId="1" fillId="0" borderId="9" xfId="0" applyFont="1" applyBorder="1" applyAlignment="1">
      <alignment horizontal="center" wrapText="1"/>
    </xf>
    <xf numFmtId="0" fontId="5" fillId="0" borderId="0" xfId="0" applyFont="1" applyBorder="1" applyAlignment="1"/>
    <xf numFmtId="0" fontId="1" fillId="0" borderId="0" xfId="0" applyFont="1" applyBorder="1" applyAlignment="1">
      <alignment horizontal="center" wrapText="1"/>
    </xf>
    <xf numFmtId="0" fontId="19" fillId="0" borderId="0" xfId="0" applyFont="1"/>
    <xf numFmtId="0" fontId="19" fillId="0" borderId="0" xfId="0" applyFont="1" applyBorder="1" applyAlignment="1"/>
    <xf numFmtId="0" fontId="13" fillId="10" borderId="15" xfId="0" applyNumberFormat="1" applyFont="1" applyFill="1" applyBorder="1"/>
    <xf numFmtId="0" fontId="1" fillId="0" borderId="0" xfId="0" applyFont="1" applyAlignment="1">
      <alignment horizontal="left" wrapText="1"/>
    </xf>
    <xf numFmtId="0" fontId="1" fillId="0" borderId="0" xfId="0" applyFont="1" applyAlignment="1">
      <alignment horizontal="left"/>
    </xf>
    <xf numFmtId="0" fontId="0" fillId="2" borderId="16"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0" xfId="0" applyFill="1" applyAlignment="1">
      <alignment horizontal="left"/>
    </xf>
    <xf numFmtId="166" fontId="0" fillId="3" borderId="0" xfId="0" applyNumberFormat="1" applyFill="1" applyAlignment="1">
      <alignment horizontal="left"/>
    </xf>
    <xf numFmtId="14"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14" fontId="0" fillId="2" borderId="16" xfId="0" applyNumberFormat="1" applyFill="1" applyBorder="1" applyAlignment="1" applyProtection="1">
      <alignment horizontal="center"/>
      <protection locked="0"/>
    </xf>
    <xf numFmtId="14" fontId="0" fillId="2" borderId="17" xfId="0" applyNumberFormat="1" applyFill="1" applyBorder="1" applyAlignment="1" applyProtection="1">
      <alignment horizontal="center"/>
      <protection locked="0"/>
    </xf>
    <xf numFmtId="14" fontId="0" fillId="2" borderId="18" xfId="0" applyNumberFormat="1" applyFill="1" applyBorder="1" applyAlignment="1" applyProtection="1">
      <alignment horizontal="center"/>
      <protection locked="0"/>
    </xf>
    <xf numFmtId="0" fontId="5" fillId="0" borderId="0" xfId="0"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cellXfs>
  <cellStyles count="34">
    <cellStyle name="Comma 2" xfId="7"/>
    <cellStyle name="Comma 2 2" xfId="8"/>
    <cellStyle name="Comma 3" xfId="9"/>
    <cellStyle name="Comma 3 2" xfId="10"/>
    <cellStyle name="Currency" xfId="3" builtinId="4"/>
    <cellStyle name="Currency 2" xfId="11"/>
    <cellStyle name="Currency 2 2" xfId="12"/>
    <cellStyle name="Currency 3" xfId="13"/>
    <cellStyle name="Currency 3 2" xfId="14"/>
    <cellStyle name="Currency 4" xfId="15"/>
    <cellStyle name="Data Field" xfId="16"/>
    <cellStyle name="Data Name" xfId="17"/>
    <cellStyle name="Hyperlink" xfId="33" builtinId="8"/>
    <cellStyle name="Normal" xfId="0" builtinId="0"/>
    <cellStyle name="Normal 2" xfId="2"/>
    <cellStyle name="Normal 2 2" xfId="6"/>
    <cellStyle name="Normal 2 2 2" xfId="19"/>
    <cellStyle name="Normal 2 2 3" xfId="20"/>
    <cellStyle name="Normal 2 3" xfId="21"/>
    <cellStyle name="Normal 2 3 2" xfId="22"/>
    <cellStyle name="Normal 2 4" xfId="23"/>
    <cellStyle name="Normal 2 5" xfId="24"/>
    <cellStyle name="Normal 2 6" xfId="18"/>
    <cellStyle name="Normal 3" xfId="1"/>
    <cellStyle name="Normal 3 2" xfId="26"/>
    <cellStyle name="Normal 3 3" xfId="27"/>
    <cellStyle name="Normal 3 4" xfId="25"/>
    <cellStyle name="Normal 4" xfId="28"/>
    <cellStyle name="Normal 5" xfId="29"/>
    <cellStyle name="Normal 6" xfId="30"/>
    <cellStyle name="Normal 7" xfId="32"/>
    <cellStyle name="Normal 8" xfId="5"/>
    <cellStyle name="Normal 9" xfId="4"/>
    <cellStyle name="Percent 2" xfId="3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30</xdr:row>
      <xdr:rowOff>0</xdr:rowOff>
    </xdr:from>
    <xdr:to>
      <xdr:col>17</xdr:col>
      <xdr:colOff>103948</xdr:colOff>
      <xdr:row>55</xdr:row>
      <xdr:rowOff>79991</xdr:rowOff>
    </xdr:to>
    <xdr:pic>
      <xdr:nvPicPr>
        <xdr:cNvPr id="2" name="Picture 1">
          <a:extLst>
            <a:ext uri="{FF2B5EF4-FFF2-40B4-BE49-F238E27FC236}">
              <a16:creationId xmlns:a16="http://schemas.microsoft.com/office/drawing/2014/main" id="{18C66BE6-B7C2-4459-AEE9-E5227B91CC41}"/>
            </a:ext>
          </a:extLst>
        </xdr:cNvPr>
        <xdr:cNvPicPr>
          <a:picLocks noChangeAspect="1"/>
        </xdr:cNvPicPr>
      </xdr:nvPicPr>
      <xdr:blipFill>
        <a:blip xmlns:r="http://schemas.openxmlformats.org/officeDocument/2006/relationships" r:embed="rId1"/>
        <a:stretch>
          <a:fillRect/>
        </a:stretch>
      </xdr:blipFill>
      <xdr:spPr>
        <a:xfrm>
          <a:off x="11010900" y="6172200"/>
          <a:ext cx="4980748" cy="4842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wrportal.bud.bpa.gov/orgs/ee/planningandevaluation/Lists/New%20Measure%20Request%20Form/Attachments/8/Converted%20NWRCAT%20Versio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Information"/>
      <sheetName val="Explanation of Inputs"/>
      <sheetName val="Instructions"/>
      <sheetName val="Master Outputs"/>
      <sheetName val="AccessData"/>
    </sheetNames>
    <sheetDataSet>
      <sheetData sheetId="0" refreshError="1"/>
      <sheetData sheetId="1" refreshError="1"/>
      <sheetData sheetId="2" refreshError="1"/>
      <sheetData sheetId="3">
        <row r="75">
          <cell r="B75" t="str">
            <v>NW Regional Compressed Air Tool</v>
          </cell>
        </row>
        <row r="76">
          <cell r="B76">
            <v>3.5</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ckelly@bp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worldwideforklifts.com/FORKLIFTBATTERYStateofChargeChart.pdf" TargetMode="External"/><Relationship Id="rId1" Type="http://schemas.openxmlformats.org/officeDocument/2006/relationships/hyperlink" Target="https://www.pge.com/includes/docs/pdfs/mybusiness/energysavingsrebates/moneybacksolutions/grocery/fb_ib/forklift_battery_charger_f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zoomScaleNormal="100" workbookViewId="0">
      <selection activeCell="C15" sqref="C15:F15"/>
    </sheetView>
  </sheetViews>
  <sheetFormatPr defaultColWidth="9.109375" defaultRowHeight="14.4" x14ac:dyDescent="0.3"/>
  <cols>
    <col min="1" max="1" width="3.5546875" style="30" customWidth="1"/>
    <col min="2" max="2" width="33.33203125" style="30" customWidth="1"/>
    <col min="3" max="3" width="13.88671875" style="30" customWidth="1"/>
    <col min="4" max="4" width="8.33203125" style="2" customWidth="1"/>
    <col min="5" max="5" width="14.33203125" style="30" customWidth="1"/>
    <col min="6" max="6" width="8.33203125" style="30" customWidth="1"/>
    <col min="7" max="7" width="3.5546875" style="30" customWidth="1"/>
    <col min="8" max="8" width="9.109375" style="30"/>
    <col min="9" max="9" width="10" style="30" customWidth="1"/>
    <col min="10" max="10" width="16.44140625" style="30" customWidth="1"/>
    <col min="11" max="25" width="9.109375" style="30"/>
    <col min="26" max="26" width="2.5546875" style="30" customWidth="1"/>
    <col min="27" max="27" width="31" style="30" customWidth="1"/>
    <col min="28" max="16384" width="9.109375" style="30"/>
  </cols>
  <sheetData>
    <row r="1" spans="1:27" ht="23.4" x14ac:dyDescent="0.45">
      <c r="A1" s="79" t="s">
        <v>387</v>
      </c>
      <c r="F1" s="78" t="s">
        <v>419</v>
      </c>
    </row>
    <row r="2" spans="1:27" x14ac:dyDescent="0.3">
      <c r="A2" s="32"/>
      <c r="B2" s="32" t="s">
        <v>44</v>
      </c>
      <c r="C2" s="43"/>
      <c r="D2" s="34"/>
      <c r="E2" s="43"/>
      <c r="F2" s="43"/>
    </row>
    <row r="3" spans="1:27" x14ac:dyDescent="0.3">
      <c r="A3" s="36">
        <v>1</v>
      </c>
      <c r="B3" s="112" t="s">
        <v>45</v>
      </c>
      <c r="C3" s="112"/>
      <c r="D3" s="112"/>
      <c r="E3" s="112"/>
    </row>
    <row r="4" spans="1:27" x14ac:dyDescent="0.3">
      <c r="A4" s="36">
        <v>2</v>
      </c>
      <c r="B4" s="112" t="s">
        <v>80</v>
      </c>
      <c r="C4" s="112"/>
      <c r="D4" s="112"/>
      <c r="E4" s="112"/>
    </row>
    <row r="5" spans="1:27" ht="15" customHeight="1" x14ac:dyDescent="0.3">
      <c r="A5" s="36">
        <v>3</v>
      </c>
      <c r="B5" s="112" t="s">
        <v>46</v>
      </c>
      <c r="C5" s="112"/>
      <c r="D5" s="112"/>
      <c r="E5" s="112"/>
    </row>
    <row r="6" spans="1:27" x14ac:dyDescent="0.3">
      <c r="A6" s="36">
        <v>4</v>
      </c>
      <c r="B6" s="112" t="s">
        <v>47</v>
      </c>
      <c r="C6" s="112"/>
      <c r="D6" s="112"/>
      <c r="E6" s="112"/>
    </row>
    <row r="8" spans="1:27" x14ac:dyDescent="0.3">
      <c r="B8" s="36" t="s">
        <v>48</v>
      </c>
    </row>
    <row r="9" spans="1:27" x14ac:dyDescent="0.3">
      <c r="AA9" s="2"/>
    </row>
    <row r="10" spans="1:27" x14ac:dyDescent="0.3">
      <c r="B10" s="117" t="s">
        <v>39</v>
      </c>
      <c r="C10" s="117"/>
      <c r="D10" s="117"/>
      <c r="AA10" s="2"/>
    </row>
    <row r="11" spans="1:27" x14ac:dyDescent="0.3">
      <c r="B11" s="118" t="s">
        <v>38</v>
      </c>
      <c r="C11" s="118"/>
      <c r="D11" s="118"/>
      <c r="AA11" s="2"/>
    </row>
    <row r="12" spans="1:27" x14ac:dyDescent="0.3">
      <c r="AA12" s="2"/>
    </row>
    <row r="13" spans="1:27" x14ac:dyDescent="0.3">
      <c r="A13" s="32"/>
      <c r="B13" s="32" t="s">
        <v>30</v>
      </c>
      <c r="C13" s="43"/>
      <c r="D13" s="34"/>
      <c r="E13" s="43"/>
      <c r="F13" s="43"/>
      <c r="AA13" s="2"/>
    </row>
    <row r="14" spans="1:27" x14ac:dyDescent="0.3">
      <c r="B14" s="19" t="s">
        <v>82</v>
      </c>
      <c r="C14" s="120"/>
      <c r="D14" s="120"/>
      <c r="E14" s="120"/>
      <c r="F14" s="120"/>
    </row>
    <row r="15" spans="1:27" x14ac:dyDescent="0.3">
      <c r="B15" s="19" t="s">
        <v>85</v>
      </c>
      <c r="C15" s="120" t="s">
        <v>96</v>
      </c>
      <c r="D15" s="120"/>
      <c r="E15" s="120"/>
      <c r="F15" s="120"/>
    </row>
    <row r="16" spans="1:27" x14ac:dyDescent="0.3">
      <c r="B16" s="19" t="s">
        <v>83</v>
      </c>
      <c r="C16" s="120"/>
      <c r="D16" s="120"/>
      <c r="E16" s="120"/>
      <c r="F16" s="120"/>
    </row>
    <row r="17" spans="1:6" x14ac:dyDescent="0.3">
      <c r="B17" s="19" t="s">
        <v>84</v>
      </c>
      <c r="C17" s="120"/>
      <c r="D17" s="120"/>
      <c r="E17" s="120"/>
      <c r="F17" s="120"/>
    </row>
    <row r="18" spans="1:6" x14ac:dyDescent="0.3">
      <c r="B18" s="19" t="s">
        <v>31</v>
      </c>
      <c r="C18" s="120"/>
      <c r="D18" s="120"/>
      <c r="E18" s="120"/>
      <c r="F18" s="120"/>
    </row>
    <row r="19" spans="1:6" x14ac:dyDescent="0.3">
      <c r="B19" s="19" t="s">
        <v>389</v>
      </c>
      <c r="C19" s="121"/>
      <c r="D19" s="122"/>
      <c r="E19" s="122"/>
      <c r="F19" s="123"/>
    </row>
    <row r="20" spans="1:6" x14ac:dyDescent="0.3">
      <c r="B20" s="19" t="s">
        <v>390</v>
      </c>
      <c r="C20" s="114"/>
      <c r="D20" s="115"/>
      <c r="E20" s="115"/>
      <c r="F20" s="116"/>
    </row>
    <row r="21" spans="1:6" x14ac:dyDescent="0.3">
      <c r="B21" s="19" t="s">
        <v>391</v>
      </c>
      <c r="C21" s="114"/>
      <c r="D21" s="115"/>
      <c r="E21" s="115"/>
      <c r="F21" s="116"/>
    </row>
    <row r="22" spans="1:6" x14ac:dyDescent="0.3">
      <c r="B22" s="19" t="s">
        <v>86</v>
      </c>
      <c r="C22" s="120"/>
      <c r="D22" s="120"/>
      <c r="E22" s="120"/>
      <c r="F22" s="120"/>
    </row>
    <row r="23" spans="1:6" s="15" customFormat="1" x14ac:dyDescent="0.3">
      <c r="B23" s="19" t="s">
        <v>28</v>
      </c>
      <c r="C23" s="120"/>
      <c r="D23" s="120"/>
      <c r="E23" s="120"/>
      <c r="F23" s="120"/>
    </row>
    <row r="24" spans="1:6" x14ac:dyDescent="0.3">
      <c r="B24" s="19" t="s">
        <v>91</v>
      </c>
      <c r="C24" s="119"/>
      <c r="D24" s="120"/>
      <c r="E24" s="120"/>
      <c r="F24" s="120"/>
    </row>
    <row r="25" spans="1:6" x14ac:dyDescent="0.3">
      <c r="B25" s="19" t="s">
        <v>392</v>
      </c>
      <c r="C25" s="124" t="s">
        <v>96</v>
      </c>
      <c r="D25" s="125"/>
      <c r="E25" s="125"/>
      <c r="F25" s="126"/>
    </row>
    <row r="27" spans="1:6" x14ac:dyDescent="0.3">
      <c r="A27" s="32"/>
      <c r="B27" s="32" t="s">
        <v>30</v>
      </c>
      <c r="C27" s="43"/>
      <c r="D27" s="34"/>
      <c r="E27" s="43"/>
      <c r="F27" s="43"/>
    </row>
    <row r="28" spans="1:6" x14ac:dyDescent="0.3">
      <c r="B28" s="113" t="s">
        <v>92</v>
      </c>
      <c r="C28" s="113"/>
      <c r="D28" s="113"/>
      <c r="E28" s="113"/>
      <c r="F28" s="70"/>
    </row>
    <row r="29" spans="1:6" x14ac:dyDescent="0.3">
      <c r="B29" s="113" t="s">
        <v>87</v>
      </c>
      <c r="C29" s="113"/>
      <c r="D29" s="113"/>
      <c r="E29" s="113"/>
      <c r="F29" s="70"/>
    </row>
    <row r="30" spans="1:6" x14ac:dyDescent="0.3">
      <c r="B30" s="113" t="s">
        <v>78</v>
      </c>
      <c r="C30" s="113"/>
      <c r="D30" s="113"/>
      <c r="E30" s="113"/>
      <c r="F30" s="70"/>
    </row>
    <row r="31" spans="1:6" x14ac:dyDescent="0.3">
      <c r="B31" s="113" t="s">
        <v>79</v>
      </c>
      <c r="C31" s="113"/>
      <c r="D31" s="113"/>
      <c r="E31" s="113"/>
      <c r="F31" s="70"/>
    </row>
    <row r="33" spans="1:6" x14ac:dyDescent="0.3">
      <c r="C33" s="36" t="str">
        <f>IF(OR(F28="No",F29="No",F30="No", F31="No"),"Project does not meet IM requirements","")</f>
        <v/>
      </c>
    </row>
    <row r="35" spans="1:6" x14ac:dyDescent="0.3">
      <c r="A35" s="32"/>
      <c r="B35" s="32"/>
      <c r="C35" s="43"/>
      <c r="D35" s="34"/>
      <c r="E35" s="43"/>
      <c r="F35" s="43"/>
    </row>
    <row r="37" spans="1:6" x14ac:dyDescent="0.3">
      <c r="B37" s="36" t="s">
        <v>49</v>
      </c>
      <c r="C37" s="36" t="s">
        <v>50</v>
      </c>
    </row>
    <row r="38" spans="1:6" x14ac:dyDescent="0.3">
      <c r="C38" s="40" t="s">
        <v>51</v>
      </c>
    </row>
    <row r="40" spans="1:6" x14ac:dyDescent="0.3">
      <c r="A40" s="32"/>
      <c r="B40" s="32"/>
      <c r="C40" s="43"/>
      <c r="D40" s="34"/>
      <c r="E40" s="43"/>
      <c r="F40" s="43"/>
    </row>
  </sheetData>
  <sheetProtection password="B65E" sheet="1" objects="1" scenarios="1"/>
  <mergeCells count="22">
    <mergeCell ref="B29:E29"/>
    <mergeCell ref="B30:E30"/>
    <mergeCell ref="B31:E31"/>
    <mergeCell ref="B10:D10"/>
    <mergeCell ref="B11:D11"/>
    <mergeCell ref="C24:F24"/>
    <mergeCell ref="C14:F14"/>
    <mergeCell ref="C15:F15"/>
    <mergeCell ref="C18:F18"/>
    <mergeCell ref="C19:F19"/>
    <mergeCell ref="C22:F22"/>
    <mergeCell ref="C23:F23"/>
    <mergeCell ref="C16:F16"/>
    <mergeCell ref="C17:F17"/>
    <mergeCell ref="C25:F25"/>
    <mergeCell ref="C21:F21"/>
    <mergeCell ref="B3:E3"/>
    <mergeCell ref="B4:E4"/>
    <mergeCell ref="B5:E5"/>
    <mergeCell ref="B6:E6"/>
    <mergeCell ref="B28:E28"/>
    <mergeCell ref="C20:F20"/>
  </mergeCells>
  <hyperlinks>
    <hyperlink ref="C38" r:id="rId1"/>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prompt="Please Select_x000a_YES or NO">
          <x14:formula1>
            <xm:f>Lists!$A$1:$A$2</xm:f>
          </x14:formula1>
          <xm:sqref>F28:F31</xm:sqref>
        </x14:dataValidation>
        <x14:dataValidation type="list" allowBlank="1" showInputMessage="1" showErrorMessage="1">
          <x14:formula1>
            <xm:f>Lists!$E$2:$E$141</xm:f>
          </x14:formula1>
          <xm:sqref>C15:F15</xm:sqref>
        </x14:dataValidation>
        <x14:dataValidation type="list" allowBlank="1" showInputMessage="1" showErrorMessage="1">
          <x14:formula1>
            <xm:f>Lists!$C$1:$C$4</xm:f>
          </x14:formula1>
          <xm:sqref>C25:F25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0"/>
  <sheetViews>
    <sheetView topLeftCell="B1" zoomScaleNormal="100" workbookViewId="0">
      <selection activeCell="C3" sqref="C3"/>
    </sheetView>
  </sheetViews>
  <sheetFormatPr defaultRowHeight="14.4" x14ac:dyDescent="0.3"/>
  <cols>
    <col min="1" max="1" width="3.5546875" customWidth="1"/>
    <col min="2" max="2" width="39.88671875" customWidth="1"/>
    <col min="3" max="3" width="15.33203125" customWidth="1"/>
    <col min="4" max="4" width="7.88671875" customWidth="1"/>
    <col min="5" max="5" width="14.33203125" customWidth="1"/>
    <col min="7" max="7" width="3.5546875" customWidth="1"/>
    <col min="8" max="8" width="14.33203125" customWidth="1"/>
    <col min="10" max="10" width="14.33203125" customWidth="1"/>
    <col min="11" max="13" width="10.33203125" customWidth="1"/>
    <col min="16" max="16" width="10.88671875" bestFit="1" customWidth="1"/>
    <col min="19" max="19" width="11.5546875" bestFit="1" customWidth="1"/>
    <col min="20" max="20" width="10.33203125" bestFit="1" customWidth="1"/>
    <col min="21" max="21" width="10.33203125" style="30" bestFit="1" customWidth="1"/>
    <col min="22" max="23" width="11.44140625" bestFit="1" customWidth="1"/>
    <col min="24" max="24" width="11.44140625" style="30" bestFit="1" customWidth="1"/>
    <col min="25" max="25" width="11.44140625" bestFit="1" customWidth="1"/>
  </cols>
  <sheetData>
    <row r="1" spans="1:14" ht="23.4" x14ac:dyDescent="0.45">
      <c r="B1" s="35" t="s">
        <v>52</v>
      </c>
      <c r="E1" s="103"/>
    </row>
    <row r="2" spans="1:14" x14ac:dyDescent="0.3">
      <c r="A2" s="34"/>
      <c r="B2" s="12" t="s">
        <v>25</v>
      </c>
      <c r="C2" s="13"/>
      <c r="D2" s="17"/>
      <c r="E2" s="13"/>
      <c r="F2" s="13"/>
    </row>
    <row r="3" spans="1:14" x14ac:dyDescent="0.3">
      <c r="B3" s="16" t="s">
        <v>32</v>
      </c>
      <c r="C3" s="72"/>
      <c r="D3" s="2"/>
      <c r="E3" s="109" t="str">
        <f>IF(ISBLANK(no_chargers),"Enter number of chargers", "")</f>
        <v>Enter number of chargers</v>
      </c>
      <c r="H3" s="117" t="s">
        <v>39</v>
      </c>
      <c r="I3" s="117"/>
      <c r="J3" s="117"/>
    </row>
    <row r="4" spans="1:14" x14ac:dyDescent="0.3">
      <c r="A4" s="30"/>
      <c r="B4" s="16"/>
      <c r="C4" s="16"/>
      <c r="D4" s="2"/>
      <c r="E4" s="30"/>
      <c r="F4" s="30"/>
      <c r="H4" s="118" t="s">
        <v>38</v>
      </c>
      <c r="I4" s="118"/>
      <c r="J4" s="118"/>
    </row>
    <row r="5" spans="1:14" x14ac:dyDescent="0.3">
      <c r="B5" s="14"/>
      <c r="C5" s="18" t="s">
        <v>29</v>
      </c>
      <c r="D5" s="2"/>
      <c r="E5" s="4" t="s">
        <v>27</v>
      </c>
    </row>
    <row r="6" spans="1:14" x14ac:dyDescent="0.3">
      <c r="B6" s="3" t="s">
        <v>13</v>
      </c>
      <c r="C6" s="72"/>
      <c r="D6" s="2"/>
      <c r="E6" s="72"/>
    </row>
    <row r="7" spans="1:14" x14ac:dyDescent="0.3">
      <c r="B7" s="3" t="s">
        <v>14</v>
      </c>
      <c r="C7" s="72"/>
      <c r="D7" s="2"/>
      <c r="E7" s="72"/>
    </row>
    <row r="8" spans="1:14" x14ac:dyDescent="0.3">
      <c r="B8" s="3" t="s">
        <v>15</v>
      </c>
      <c r="C8" s="72"/>
      <c r="D8" s="2"/>
      <c r="E8" s="72"/>
    </row>
    <row r="9" spans="1:14" x14ac:dyDescent="0.3">
      <c r="B9" s="3" t="s">
        <v>33</v>
      </c>
      <c r="C9" s="73" t="s">
        <v>96</v>
      </c>
      <c r="D9" s="2"/>
      <c r="E9" s="73" t="s">
        <v>96</v>
      </c>
      <c r="F9" s="2"/>
      <c r="H9" s="109" t="str">
        <f>IF(OR(upgrade_battery="SCR",upgrade_battery="ferroresonant"),"Upgrade charger does not qualify.","")</f>
        <v/>
      </c>
    </row>
    <row r="10" spans="1:14" s="30" customFormat="1" x14ac:dyDescent="0.3">
      <c r="A10"/>
      <c r="B10" s="3" t="s">
        <v>410</v>
      </c>
      <c r="C10" s="20">
        <f>IF(C9="--Select--",0,IF(C9="High Frequency",0.92,0.85))</f>
        <v>0</v>
      </c>
      <c r="D10" s="2"/>
      <c r="E10" s="20">
        <f>IF(E9="--Select--",0,IF(E9="High Frequency",0.92,0.85))</f>
        <v>0</v>
      </c>
      <c r="F10" s="2"/>
    </row>
    <row r="11" spans="1:14" s="30" customFormat="1" x14ac:dyDescent="0.3">
      <c r="B11" s="31"/>
      <c r="C11" s="109" t="str">
        <f>IF(OR(existing_battery="--Select--",upgrade_battery="--Select--"),"Please select battery charger technologies","")</f>
        <v>Please select battery charger technologies</v>
      </c>
      <c r="F11" s="2"/>
      <c r="J11" s="108"/>
      <c r="K11" s="108"/>
      <c r="L11" s="108"/>
      <c r="M11" s="108"/>
    </row>
    <row r="12" spans="1:14" s="30" customFormat="1" x14ac:dyDescent="0.3">
      <c r="A12" s="34"/>
      <c r="B12" s="32" t="s">
        <v>53</v>
      </c>
      <c r="C12" s="33"/>
      <c r="D12" s="34"/>
      <c r="E12" s="33"/>
      <c r="F12" s="33"/>
      <c r="K12" s="107"/>
      <c r="L12" s="107"/>
      <c r="M12" s="107"/>
    </row>
    <row r="13" spans="1:14" s="30" customFormat="1" x14ac:dyDescent="0.3">
      <c r="B13" s="63" t="s">
        <v>376</v>
      </c>
      <c r="C13" s="74"/>
      <c r="E13" s="109" t="str">
        <f>IF(equipment_cost&gt;0,"","Cost is required")</f>
        <v>Cost is required</v>
      </c>
      <c r="F13" s="2"/>
      <c r="K13" s="107"/>
      <c r="L13" s="107"/>
      <c r="M13" s="107"/>
    </row>
    <row r="14" spans="1:14" s="30" customFormat="1" x14ac:dyDescent="0.3">
      <c r="B14" s="62" t="s">
        <v>377</v>
      </c>
      <c r="C14" s="75"/>
      <c r="E14" s="23"/>
      <c r="F14" s="2"/>
      <c r="K14" s="107"/>
      <c r="L14" s="107"/>
      <c r="M14" s="107"/>
    </row>
    <row r="15" spans="1:14" s="30" customFormat="1" x14ac:dyDescent="0.3">
      <c r="B15" s="63" t="s">
        <v>378</v>
      </c>
      <c r="C15" s="75"/>
      <c r="E15" s="23"/>
      <c r="F15" s="2"/>
      <c r="J15" s="107"/>
      <c r="K15" s="107"/>
      <c r="L15" s="107"/>
      <c r="M15" s="107"/>
    </row>
    <row r="16" spans="1:14" s="30" customFormat="1" x14ac:dyDescent="0.3">
      <c r="B16" s="63" t="s">
        <v>379</v>
      </c>
      <c r="C16" s="75"/>
      <c r="E16" s="23"/>
      <c r="F16" s="2"/>
      <c r="I16" s="38"/>
      <c r="J16" s="107"/>
      <c r="K16" s="107"/>
      <c r="L16" s="107"/>
      <c r="M16" s="107"/>
      <c r="N16" s="38"/>
    </row>
    <row r="17" spans="1:14" s="30" customFormat="1" x14ac:dyDescent="0.3">
      <c r="B17" s="23" t="s">
        <v>380</v>
      </c>
      <c r="C17" s="64">
        <f>SUM(C13:C16)</f>
        <v>0</v>
      </c>
      <c r="D17" s="2"/>
      <c r="E17" s="109"/>
      <c r="F17" s="2"/>
      <c r="I17" s="38"/>
      <c r="J17" s="127"/>
      <c r="K17" s="127"/>
      <c r="L17" s="127"/>
      <c r="M17" s="127"/>
      <c r="N17" s="38"/>
    </row>
    <row r="18" spans="1:14" s="30" customFormat="1" x14ac:dyDescent="0.3">
      <c r="B18" s="39" t="s">
        <v>81</v>
      </c>
      <c r="D18" s="2"/>
      <c r="F18" s="2"/>
      <c r="I18" s="38"/>
      <c r="J18" s="38"/>
      <c r="K18" s="38"/>
      <c r="L18" s="38"/>
      <c r="M18" s="38"/>
      <c r="N18" s="38"/>
    </row>
    <row r="19" spans="1:14" x14ac:dyDescent="0.3">
      <c r="A19" s="30"/>
      <c r="B19" s="39"/>
      <c r="C19" s="30"/>
      <c r="D19" s="2"/>
      <c r="E19" s="30"/>
      <c r="F19" s="2"/>
      <c r="I19" s="38"/>
      <c r="J19" s="38"/>
      <c r="K19" s="38"/>
      <c r="L19" s="38"/>
      <c r="M19" s="38"/>
      <c r="N19" s="38"/>
    </row>
    <row r="20" spans="1:14" x14ac:dyDescent="0.3">
      <c r="A20" s="34"/>
      <c r="B20" s="12" t="s">
        <v>26</v>
      </c>
      <c r="C20" s="13"/>
      <c r="D20" s="17"/>
      <c r="E20" s="13"/>
      <c r="F20" s="13"/>
    </row>
    <row r="21" spans="1:14" s="30" customFormat="1" x14ac:dyDescent="0.3">
      <c r="B21" s="80"/>
      <c r="D21" s="2"/>
      <c r="F21" s="2"/>
    </row>
    <row r="22" spans="1:14" x14ac:dyDescent="0.3">
      <c r="B22" s="7" t="s">
        <v>23</v>
      </c>
      <c r="C22" s="6"/>
      <c r="D22" s="6"/>
      <c r="E22" s="110" t="str">
        <f>IF(weekday_days*weekday_weeks+weekend_days*weekend_weeks&gt;365,"Check days of operation, can't be more than 365.","")</f>
        <v/>
      </c>
    </row>
    <row r="23" spans="1:14" x14ac:dyDescent="0.3">
      <c r="B23" s="5" t="s">
        <v>18</v>
      </c>
      <c r="C23" s="76"/>
      <c r="D23" s="1"/>
      <c r="E23" s="110" t="str">
        <f>IF(OR(weekday_cycles&gt;3,weekend_cycles&gt;3),"Cannot have more than 3 charge cycles per day.","")</f>
        <v/>
      </c>
    </row>
    <row r="24" spans="1:14" x14ac:dyDescent="0.3">
      <c r="B24" s="5" t="s">
        <v>19</v>
      </c>
      <c r="C24" s="76"/>
      <c r="D24" s="1"/>
      <c r="E24" s="110" t="str">
        <f>IF(weekday_days+weekend_days&gt;7,"Check days per week, can't be more than 7.","")</f>
        <v/>
      </c>
    </row>
    <row r="25" spans="1:14" x14ac:dyDescent="0.3">
      <c r="B25" s="5" t="s">
        <v>20</v>
      </c>
      <c r="C25" s="76"/>
      <c r="D25" s="1"/>
      <c r="E25" s="110" t="str">
        <f>IF(OR(weekday_weeks&gt;52,weekend_weeks&gt;52),"Cannot have more than 52 weeks per year.","")</f>
        <v/>
      </c>
    </row>
    <row r="26" spans="1:14" x14ac:dyDescent="0.3">
      <c r="B26" s="5" t="s">
        <v>21</v>
      </c>
      <c r="C26" s="57">
        <f>C23*C24*C25</f>
        <v>0</v>
      </c>
      <c r="D26" s="1"/>
      <c r="E26" s="109"/>
    </row>
    <row r="27" spans="1:14" x14ac:dyDescent="0.3">
      <c r="B27" s="8" t="s">
        <v>24</v>
      </c>
      <c r="C27" s="9"/>
      <c r="D27" s="1"/>
      <c r="E27" s="109"/>
    </row>
    <row r="28" spans="1:14" x14ac:dyDescent="0.3">
      <c r="B28" s="5" t="s">
        <v>18</v>
      </c>
      <c r="C28" s="76"/>
      <c r="D28" s="1"/>
      <c r="E28" s="109" t="str">
        <f>IF(OR(weekday_cycles&gt;3,weekend_cycles&gt;3),"Cannot have more than 3 charge cycles per day.","")</f>
        <v/>
      </c>
    </row>
    <row r="29" spans="1:14" x14ac:dyDescent="0.3">
      <c r="B29" s="5" t="s">
        <v>19</v>
      </c>
      <c r="C29" s="76"/>
      <c r="D29" s="1"/>
      <c r="E29" s="109" t="str">
        <f>IF(weekday_days+weekend_days&gt;7,"Check days per week, can't be more than 7.","")</f>
        <v/>
      </c>
    </row>
    <row r="30" spans="1:14" x14ac:dyDescent="0.3">
      <c r="B30" s="5" t="s">
        <v>20</v>
      </c>
      <c r="C30" s="76"/>
      <c r="D30" s="1"/>
      <c r="E30" s="110" t="str">
        <f>IF(OR(weekday_weeks&gt;52,weekend_weeks&gt;52),"Cannot have more than 52 weeks per year.","")</f>
        <v/>
      </c>
      <c r="H30" s="25"/>
    </row>
    <row r="31" spans="1:14" x14ac:dyDescent="0.3">
      <c r="B31" s="5" t="s">
        <v>35</v>
      </c>
      <c r="C31" s="57">
        <f>C28*C29*C30</f>
        <v>0</v>
      </c>
      <c r="D31" s="1"/>
      <c r="H31" s="25"/>
    </row>
    <row r="32" spans="1:14" x14ac:dyDescent="0.3">
      <c r="B32" s="8" t="s">
        <v>37</v>
      </c>
      <c r="C32" s="31"/>
      <c r="D32" s="1"/>
      <c r="H32" s="25"/>
    </row>
    <row r="33" spans="2:8" x14ac:dyDescent="0.3">
      <c r="B33" s="9" t="s">
        <v>36</v>
      </c>
      <c r="C33" s="57">
        <f>C26+C31</f>
        <v>0</v>
      </c>
      <c r="D33" s="1"/>
      <c r="H33" s="25"/>
    </row>
    <row r="34" spans="2:8" x14ac:dyDescent="0.3">
      <c r="B34" s="10" t="s">
        <v>0</v>
      </c>
      <c r="C34" s="58">
        <f>C33*no_chargers</f>
        <v>0</v>
      </c>
      <c r="D34" s="1"/>
      <c r="H34" s="25"/>
    </row>
    <row r="35" spans="2:8" x14ac:dyDescent="0.3">
      <c r="B35" s="11" t="s">
        <v>22</v>
      </c>
      <c r="C35" s="9"/>
      <c r="D35" s="1"/>
      <c r="H35" s="25"/>
    </row>
    <row r="36" spans="2:8" x14ac:dyDescent="0.3">
      <c r="B36" s="9" t="s">
        <v>1</v>
      </c>
      <c r="C36" s="76"/>
      <c r="D36" s="1" t="s">
        <v>2</v>
      </c>
      <c r="H36" s="25"/>
    </row>
    <row r="37" spans="2:8" x14ac:dyDescent="0.3">
      <c r="B37" s="9" t="s">
        <v>3</v>
      </c>
      <c r="C37" s="57">
        <f>C36*1.02</f>
        <v>0</v>
      </c>
      <c r="D37" s="1" t="s">
        <v>2</v>
      </c>
      <c r="E37" s="22"/>
      <c r="H37" s="25"/>
    </row>
    <row r="38" spans="2:8" x14ac:dyDescent="0.3">
      <c r="B38" s="9" t="s">
        <v>4</v>
      </c>
      <c r="C38" s="76"/>
      <c r="D38" s="1" t="s">
        <v>5</v>
      </c>
      <c r="H38" s="25"/>
    </row>
    <row r="39" spans="2:8" x14ac:dyDescent="0.3">
      <c r="B39" s="9" t="s">
        <v>375</v>
      </c>
      <c r="C39" s="59">
        <v>0.2</v>
      </c>
      <c r="D39" s="1"/>
      <c r="E39" s="22"/>
    </row>
    <row r="40" spans="2:8" s="30" customFormat="1" x14ac:dyDescent="0.3">
      <c r="B40" s="10" t="s">
        <v>6</v>
      </c>
      <c r="C40" s="60">
        <f>(1-C39)*C37*C38/1000</f>
        <v>0</v>
      </c>
      <c r="D40" s="1" t="s">
        <v>7</v>
      </c>
      <c r="E40" s="22"/>
      <c r="F40" s="25"/>
    </row>
    <row r="41" spans="2:8" x14ac:dyDescent="0.3">
      <c r="B41" s="9" t="s">
        <v>409</v>
      </c>
      <c r="C41" s="59">
        <v>0.8</v>
      </c>
    </row>
    <row r="42" spans="2:8" x14ac:dyDescent="0.3">
      <c r="B42" s="21" t="s">
        <v>426</v>
      </c>
      <c r="C42" s="9"/>
      <c r="D42" s="1"/>
    </row>
    <row r="43" spans="2:8" x14ac:dyDescent="0.3">
      <c r="B43" s="10" t="s">
        <v>8</v>
      </c>
      <c r="C43" s="60">
        <f>IFERROR(C40/C41/C10,0)</f>
        <v>0</v>
      </c>
      <c r="D43" s="1" t="s">
        <v>7</v>
      </c>
    </row>
    <row r="44" spans="2:8" x14ac:dyDescent="0.3">
      <c r="B44" s="10" t="s">
        <v>9</v>
      </c>
      <c r="C44" s="60">
        <f>IFERROR(C40/C41/E10,0)</f>
        <v>0</v>
      </c>
      <c r="D44" s="1" t="s">
        <v>7</v>
      </c>
    </row>
    <row r="45" spans="2:8" s="30" customFormat="1" x14ac:dyDescent="0.3">
      <c r="B45" s="10" t="s">
        <v>415</v>
      </c>
      <c r="C45" s="60">
        <f>IF(existing_battery="--Select--",0,VLOOKUP(existing_battery,Lists!$I$4:$J$6,2,0)*(8760-8*annual_cycles_per_charger)/1000)</f>
        <v>0</v>
      </c>
      <c r="D45" s="1" t="s">
        <v>11</v>
      </c>
    </row>
    <row r="46" spans="2:8" s="30" customFormat="1" x14ac:dyDescent="0.3">
      <c r="B46" s="10" t="s">
        <v>414</v>
      </c>
      <c r="C46" s="60">
        <f>10*(8760-8*C33)/1000</f>
        <v>87.6</v>
      </c>
      <c r="D46" s="1" t="s">
        <v>11</v>
      </c>
    </row>
    <row r="47" spans="2:8" x14ac:dyDescent="0.3">
      <c r="B47" s="10" t="s">
        <v>10</v>
      </c>
      <c r="C47" s="61">
        <f>C43*C33+C45</f>
        <v>0</v>
      </c>
      <c r="D47" s="1" t="s">
        <v>11</v>
      </c>
    </row>
    <row r="48" spans="2:8" x14ac:dyDescent="0.3">
      <c r="B48" s="10" t="s">
        <v>12</v>
      </c>
      <c r="C48" s="61">
        <f>C44*C33+C46</f>
        <v>87.6</v>
      </c>
      <c r="D48" s="1" t="s">
        <v>11</v>
      </c>
    </row>
    <row r="49" spans="1:6" x14ac:dyDescent="0.3">
      <c r="C49" s="2"/>
    </row>
    <row r="50" spans="1:6" ht="15" thickBot="1" x14ac:dyDescent="0.35">
      <c r="A50" s="34"/>
      <c r="B50" s="32" t="s">
        <v>54</v>
      </c>
      <c r="C50" s="33"/>
      <c r="D50" s="34"/>
      <c r="E50" s="33"/>
      <c r="F50" s="33"/>
    </row>
    <row r="51" spans="1:6" s="30" customFormat="1" ht="15" thickBot="1" x14ac:dyDescent="0.35">
      <c r="A51"/>
      <c r="B51" s="11" t="s">
        <v>372</v>
      </c>
      <c r="C51" s="54" t="str">
        <f>IF(AND(H9="",E17="",C11="",E3=""),(C47-C48)*no_chargers,"Please fix errors")</f>
        <v>Please fix errors</v>
      </c>
      <c r="D51" s="1" t="s">
        <v>11</v>
      </c>
      <c r="E51" s="53" t="s">
        <v>374</v>
      </c>
      <c r="F51"/>
    </row>
    <row r="52" spans="1:6" ht="15" thickBot="1" x14ac:dyDescent="0.35">
      <c r="A52" s="30"/>
      <c r="B52" s="11" t="s">
        <v>373</v>
      </c>
      <c r="C52" s="54" t="e">
        <f>E52*C51</f>
        <v>#VALUE!</v>
      </c>
      <c r="D52" s="1" t="s">
        <v>11</v>
      </c>
      <c r="E52" s="53">
        <v>1.09056</v>
      </c>
      <c r="F52" s="30"/>
    </row>
    <row r="53" spans="1:6" s="30" customFormat="1" ht="15" thickBot="1" x14ac:dyDescent="0.35">
      <c r="A53"/>
      <c r="B53" s="11" t="s">
        <v>41</v>
      </c>
      <c r="C53" s="55" t="e">
        <f>busbar_savings*0.25</f>
        <v>#VALUE!</v>
      </c>
      <c r="D53" t="s">
        <v>42</v>
      </c>
      <c r="E53"/>
      <c r="F53"/>
    </row>
    <row r="54" spans="1:6" s="30" customFormat="1" ht="15" thickBot="1" x14ac:dyDescent="0.35">
      <c r="B54" s="11" t="s">
        <v>88</v>
      </c>
      <c r="C54" s="55">
        <f>0.7*project_cost</f>
        <v>0</v>
      </c>
    </row>
    <row r="55" spans="1:6" ht="15" thickBot="1" x14ac:dyDescent="0.35">
      <c r="A55" s="30"/>
      <c r="B55" s="11" t="s">
        <v>55</v>
      </c>
      <c r="C55" s="77">
        <v>0</v>
      </c>
      <c r="D55" s="23" t="s">
        <v>56</v>
      </c>
      <c r="E55" s="30"/>
      <c r="F55" s="30"/>
    </row>
    <row r="56" spans="1:6" ht="15" thickBot="1" x14ac:dyDescent="0.35">
      <c r="B56" s="11" t="s">
        <v>40</v>
      </c>
      <c r="C56" s="56" t="e">
        <f>IF(OR(ISBLANK(C55),C55=0), MIN(C53,C54),MIN(C54,C53,C55))</f>
        <v>#VALUE!</v>
      </c>
      <c r="D56" t="s">
        <v>43</v>
      </c>
    </row>
    <row r="58" spans="1:6" ht="18" x14ac:dyDescent="0.35">
      <c r="A58" s="34"/>
      <c r="B58" s="65" t="s">
        <v>381</v>
      </c>
      <c r="C58" s="43"/>
      <c r="D58" s="34"/>
      <c r="E58" s="43"/>
      <c r="F58" s="43"/>
    </row>
    <row r="59" spans="1:6" ht="15.6" x14ac:dyDescent="0.3">
      <c r="A59" s="30"/>
      <c r="B59" s="66" t="s">
        <v>382</v>
      </c>
      <c r="C59" s="67" t="s">
        <v>388</v>
      </c>
      <c r="D59" s="30"/>
      <c r="E59" s="30"/>
      <c r="F59" s="30"/>
    </row>
    <row r="60" spans="1:6" ht="15.6" x14ac:dyDescent="0.3">
      <c r="A60" s="30"/>
      <c r="B60" s="66" t="s">
        <v>383</v>
      </c>
      <c r="C60" s="67">
        <v>1</v>
      </c>
      <c r="D60" s="30"/>
      <c r="E60" s="30"/>
      <c r="F60" s="30"/>
    </row>
    <row r="61" spans="1:6" ht="15.6" x14ac:dyDescent="0.3">
      <c r="A61" s="30"/>
      <c r="B61" s="66" t="s">
        <v>384</v>
      </c>
      <c r="C61" s="68" t="str">
        <f>C51</f>
        <v>Please fix errors</v>
      </c>
      <c r="D61" s="30" t="s">
        <v>11</v>
      </c>
      <c r="E61" s="30"/>
      <c r="F61" s="30"/>
    </row>
    <row r="62" spans="1:6" ht="15.6" x14ac:dyDescent="0.3">
      <c r="A62" s="30"/>
      <c r="B62" s="66" t="s">
        <v>385</v>
      </c>
      <c r="C62" s="69" t="e">
        <f>final_incentive</f>
        <v>#VALUE!</v>
      </c>
      <c r="D62" s="30"/>
      <c r="E62" s="30"/>
      <c r="F62" s="30"/>
    </row>
    <row r="63" spans="1:6" ht="15.6" x14ac:dyDescent="0.3">
      <c r="A63" s="30"/>
      <c r="B63" s="66" t="s">
        <v>386</v>
      </c>
      <c r="C63" s="69">
        <f>project_cost</f>
        <v>0</v>
      </c>
      <c r="D63" s="30"/>
      <c r="E63" s="30"/>
      <c r="F63" s="30"/>
    </row>
    <row r="64" spans="1:6" ht="15.6" x14ac:dyDescent="0.3">
      <c r="B64" s="66" t="s">
        <v>432</v>
      </c>
      <c r="C64" s="111" t="e">
        <f>C61/C63</f>
        <v>#VALUE!</v>
      </c>
    </row>
    <row r="227" spans="25:25" x14ac:dyDescent="0.3">
      <c r="Y227" s="30"/>
    </row>
    <row r="240" spans="25:25" x14ac:dyDescent="0.3">
      <c r="Y240" s="30"/>
    </row>
  </sheetData>
  <sheetProtection password="B65E" sheet="1" objects="1" scenarios="1"/>
  <mergeCells count="3">
    <mergeCell ref="J17:M17"/>
    <mergeCell ref="H3:J3"/>
    <mergeCell ref="H4:J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Lists!$B$1:$B$4</xm:f>
          </x14:formula1>
          <xm:sqref>E9 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zoomScaleNormal="100" workbookViewId="0">
      <selection activeCell="N4" sqref="N4"/>
    </sheetView>
  </sheetViews>
  <sheetFormatPr defaultColWidth="3.5546875" defaultRowHeight="18.75" customHeight="1" x14ac:dyDescent="0.3"/>
  <sheetData>
    <row r="1" spans="1:23" s="30" customFormat="1" ht="18.75" customHeight="1" x14ac:dyDescent="0.45">
      <c r="A1" s="35" t="s">
        <v>57</v>
      </c>
    </row>
    <row r="2" spans="1:23" s="30" customFormat="1" ht="18.75" customHeight="1" x14ac:dyDescent="0.3">
      <c r="A2" s="32" t="s">
        <v>59</v>
      </c>
      <c r="B2" s="32"/>
      <c r="C2" s="33"/>
      <c r="D2" s="34"/>
      <c r="E2" s="33"/>
      <c r="F2" s="33"/>
      <c r="G2" s="33"/>
      <c r="H2" s="33"/>
      <c r="I2" s="33"/>
      <c r="J2" s="33"/>
      <c r="K2" s="33"/>
      <c r="L2" s="33"/>
      <c r="M2" s="33"/>
      <c r="N2" s="33"/>
      <c r="O2" s="33"/>
      <c r="P2" s="33"/>
      <c r="Q2" s="33"/>
      <c r="R2" s="33"/>
      <c r="S2" s="33"/>
      <c r="T2" s="33"/>
      <c r="U2" s="33"/>
      <c r="V2" s="43"/>
    </row>
    <row r="3" spans="1:23" ht="18.75" customHeight="1" thickBot="1" x14ac:dyDescent="0.35">
      <c r="A3" s="24"/>
      <c r="B3" s="25"/>
      <c r="C3" s="25"/>
      <c r="D3" s="25"/>
      <c r="E3" s="25"/>
      <c r="F3" s="25"/>
      <c r="G3" s="25"/>
      <c r="H3" s="25"/>
      <c r="I3" s="25"/>
      <c r="J3" s="25"/>
      <c r="K3" s="26"/>
      <c r="L3" s="26"/>
      <c r="M3" s="26"/>
      <c r="N3" s="26"/>
      <c r="O3" s="26"/>
      <c r="P3" s="26"/>
      <c r="Q3" s="26"/>
      <c r="R3" s="26"/>
      <c r="S3" s="26"/>
      <c r="T3" s="26"/>
      <c r="U3" s="26"/>
    </row>
    <row r="4" spans="1:23" ht="18.75" customHeight="1" thickBot="1" x14ac:dyDescent="0.35">
      <c r="A4" s="28" t="s">
        <v>60</v>
      </c>
      <c r="B4" s="37" t="s">
        <v>69</v>
      </c>
      <c r="C4" s="37"/>
      <c r="D4" s="37"/>
      <c r="E4" s="37"/>
      <c r="F4" s="37"/>
      <c r="G4" s="37"/>
      <c r="H4" s="37"/>
      <c r="I4" s="37"/>
      <c r="J4" s="37"/>
      <c r="K4" s="37"/>
      <c r="L4" s="37"/>
      <c r="M4" s="37"/>
      <c r="N4" s="71">
        <v>1</v>
      </c>
      <c r="O4" s="37"/>
      <c r="P4" s="37"/>
      <c r="Q4" s="37"/>
    </row>
    <row r="5" spans="1:23" ht="18.75" customHeight="1" x14ac:dyDescent="0.3">
      <c r="A5" s="28" t="s">
        <v>61</v>
      </c>
      <c r="B5" s="37" t="s">
        <v>70</v>
      </c>
      <c r="C5" s="37"/>
      <c r="D5" s="37"/>
      <c r="E5" s="37"/>
      <c r="F5" s="37"/>
      <c r="G5" s="37"/>
      <c r="H5" s="37"/>
      <c r="I5" s="37"/>
      <c r="J5" s="37"/>
      <c r="K5" s="37"/>
      <c r="L5" s="37"/>
      <c r="M5" s="37"/>
      <c r="N5" s="37"/>
      <c r="O5" s="37"/>
      <c r="P5" s="37"/>
      <c r="Q5" s="37"/>
    </row>
    <row r="6" spans="1:23" ht="18.75" customHeight="1" x14ac:dyDescent="0.3">
      <c r="A6" s="28" t="s">
        <v>62</v>
      </c>
      <c r="B6" s="37" t="s">
        <v>71</v>
      </c>
      <c r="C6" s="37"/>
      <c r="D6" s="37"/>
      <c r="E6" s="37"/>
      <c r="F6" s="37"/>
      <c r="G6" s="37"/>
      <c r="H6" s="37"/>
      <c r="I6" s="37"/>
      <c r="J6" s="37"/>
      <c r="K6" s="37"/>
      <c r="L6" s="37"/>
      <c r="M6" s="37"/>
      <c r="N6" s="37"/>
      <c r="O6" s="37"/>
      <c r="P6" s="37"/>
      <c r="Q6" s="37"/>
      <c r="W6" s="25"/>
    </row>
    <row r="7" spans="1:23" ht="18.75" customHeight="1" x14ac:dyDescent="0.3">
      <c r="A7" s="28" t="s">
        <v>63</v>
      </c>
      <c r="B7" s="37" t="s">
        <v>72</v>
      </c>
      <c r="C7" s="37"/>
      <c r="D7" s="37"/>
      <c r="E7" s="37"/>
      <c r="F7" s="37"/>
      <c r="G7" s="37"/>
      <c r="H7" s="37"/>
      <c r="I7" s="37"/>
      <c r="J7" s="37"/>
      <c r="K7" s="37"/>
      <c r="L7" s="37"/>
      <c r="M7" s="37"/>
      <c r="N7" s="37"/>
      <c r="O7" s="37"/>
      <c r="P7" s="37"/>
      <c r="Q7" s="37"/>
      <c r="W7" s="27"/>
    </row>
    <row r="8" spans="1:23" ht="18.75" customHeight="1" x14ac:dyDescent="0.3">
      <c r="A8" s="28" t="s">
        <v>64</v>
      </c>
      <c r="B8" s="42" t="s">
        <v>73</v>
      </c>
      <c r="C8" s="37"/>
      <c r="D8" s="37"/>
      <c r="E8" s="37"/>
      <c r="F8" s="37"/>
      <c r="G8" s="37"/>
      <c r="H8" s="37"/>
      <c r="I8" s="37"/>
      <c r="J8" s="37"/>
      <c r="K8" s="37"/>
      <c r="L8" s="37"/>
      <c r="M8" s="37"/>
      <c r="N8" s="37"/>
      <c r="O8" s="37"/>
      <c r="P8" s="37"/>
      <c r="Q8" s="37"/>
    </row>
    <row r="9" spans="1:23" ht="18.75" customHeight="1" x14ac:dyDescent="0.3">
      <c r="A9" s="28" t="s">
        <v>65</v>
      </c>
      <c r="B9" s="37" t="s">
        <v>74</v>
      </c>
      <c r="C9" s="37"/>
      <c r="D9" s="37"/>
      <c r="E9" s="37"/>
      <c r="F9" s="37"/>
      <c r="G9" s="37"/>
      <c r="H9" s="37"/>
      <c r="I9" s="37"/>
      <c r="J9" s="37"/>
      <c r="K9" s="37"/>
      <c r="L9" s="37"/>
      <c r="M9" s="37"/>
      <c r="N9" s="37"/>
      <c r="O9" s="37"/>
      <c r="P9" s="37"/>
      <c r="Q9" s="37"/>
    </row>
    <row r="10" spans="1:23" ht="18.75" customHeight="1" x14ac:dyDescent="0.3">
      <c r="A10" s="28" t="s">
        <v>66</v>
      </c>
      <c r="B10" s="37" t="s">
        <v>75</v>
      </c>
      <c r="C10" s="37"/>
      <c r="D10" s="37"/>
      <c r="E10" s="37"/>
      <c r="F10" s="37"/>
      <c r="G10" s="37"/>
      <c r="H10" s="37"/>
      <c r="I10" s="37"/>
      <c r="J10" s="37"/>
      <c r="K10" s="37"/>
      <c r="L10" s="37"/>
      <c r="M10" s="37"/>
      <c r="N10" s="37"/>
      <c r="O10" s="37"/>
      <c r="P10" s="37"/>
      <c r="Q10" s="37"/>
    </row>
    <row r="11" spans="1:23" ht="18.75" customHeight="1" x14ac:dyDescent="0.3">
      <c r="A11" s="28" t="s">
        <v>67</v>
      </c>
      <c r="B11" s="42" t="s">
        <v>76</v>
      </c>
      <c r="C11" s="37"/>
      <c r="D11" s="37"/>
      <c r="E11" s="37"/>
      <c r="F11" s="37"/>
      <c r="G11" s="37"/>
      <c r="H11" s="37"/>
      <c r="I11" s="37"/>
      <c r="J11" s="37"/>
      <c r="K11" s="37"/>
      <c r="L11" s="37"/>
      <c r="M11" s="37"/>
      <c r="N11" s="37"/>
      <c r="O11" s="37"/>
      <c r="P11" s="37"/>
      <c r="Q11" s="37"/>
    </row>
    <row r="12" spans="1:23" ht="18.75" customHeight="1" x14ac:dyDescent="0.3">
      <c r="A12" s="28" t="s">
        <v>68</v>
      </c>
      <c r="B12" s="37" t="s">
        <v>77</v>
      </c>
      <c r="C12" s="38"/>
      <c r="D12" s="38"/>
      <c r="E12" s="38"/>
      <c r="F12" s="38"/>
      <c r="G12" s="38"/>
      <c r="H12" s="38"/>
      <c r="I12" s="38"/>
      <c r="J12" s="38"/>
      <c r="K12" s="38"/>
      <c r="L12" s="38"/>
      <c r="M12" s="38"/>
      <c r="N12" s="38"/>
      <c r="O12" s="38"/>
      <c r="P12" s="38"/>
      <c r="Q12" s="38"/>
      <c r="R12" s="38"/>
      <c r="S12" s="38"/>
      <c r="T12" s="38"/>
      <c r="U12" s="38"/>
    </row>
    <row r="13" spans="1:23" ht="18.75" customHeight="1" x14ac:dyDescent="0.3">
      <c r="A13" s="44" t="s">
        <v>430</v>
      </c>
    </row>
    <row r="14" spans="1:23" ht="18.75" customHeight="1" x14ac:dyDescent="0.3">
      <c r="B14" s="41"/>
      <c r="C14" s="41"/>
      <c r="D14" s="41"/>
    </row>
    <row r="15" spans="1:23" ht="18.75" customHeight="1" x14ac:dyDescent="0.3">
      <c r="A15" s="128" t="s">
        <v>58</v>
      </c>
      <c r="B15" s="129"/>
      <c r="C15" s="129"/>
      <c r="D15" s="130"/>
      <c r="E15" s="29"/>
    </row>
    <row r="16" spans="1:23" ht="18.75" customHeight="1" x14ac:dyDescent="0.3">
      <c r="A16" s="131"/>
      <c r="B16" s="132"/>
      <c r="C16" s="132"/>
      <c r="D16" s="133"/>
      <c r="E16" s="29"/>
    </row>
    <row r="17" spans="1:22" ht="18.75" customHeight="1" thickBot="1" x14ac:dyDescent="0.35">
      <c r="A17" s="131"/>
      <c r="B17" s="132"/>
      <c r="C17" s="132"/>
      <c r="D17" s="133"/>
      <c r="E17" s="29"/>
    </row>
    <row r="18" spans="1:22" ht="18.75" customHeight="1" thickBot="1" x14ac:dyDescent="0.35">
      <c r="A18" s="131"/>
      <c r="B18" s="132"/>
      <c r="C18" s="132"/>
      <c r="D18" s="133"/>
      <c r="E18" s="29"/>
      <c r="G18" s="71">
        <v>2</v>
      </c>
      <c r="L18" s="71">
        <v>3</v>
      </c>
      <c r="Q18" s="71">
        <v>4</v>
      </c>
      <c r="V18" s="71">
        <v>5</v>
      </c>
    </row>
    <row r="19" spans="1:22" ht="18.75" customHeight="1" x14ac:dyDescent="0.3">
      <c r="A19" s="131"/>
      <c r="B19" s="132"/>
      <c r="C19" s="132"/>
      <c r="D19" s="133"/>
      <c r="E19" s="29"/>
    </row>
    <row r="20" spans="1:22" ht="18.75" customHeight="1" x14ac:dyDescent="0.3">
      <c r="A20" s="131"/>
      <c r="B20" s="132"/>
      <c r="C20" s="132"/>
      <c r="D20" s="133"/>
      <c r="E20" s="29"/>
    </row>
    <row r="21" spans="1:22" ht="18.75" customHeight="1" x14ac:dyDescent="0.3">
      <c r="A21" s="134"/>
      <c r="B21" s="135"/>
      <c r="C21" s="135"/>
      <c r="D21" s="136"/>
      <c r="E21" s="29"/>
    </row>
  </sheetData>
  <sheetProtection password="B65E" sheet="1" scenarios="1"/>
  <mergeCells count="1">
    <mergeCell ref="A15:D21"/>
  </mergeCells>
  <pageMargins left="0.7" right="0.7" top="0.75" bottom="0.75" header="0.3" footer="0.3"/>
  <pageSetup orientation="portrait" r:id="rId1"/>
  <ignoredErrors>
    <ignoredError sqref="A4:A1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1"/>
  <sheetViews>
    <sheetView topLeftCell="A31" workbookViewId="0">
      <selection activeCell="E49" sqref="E49"/>
    </sheetView>
  </sheetViews>
  <sheetFormatPr defaultRowHeight="14.4" x14ac:dyDescent="0.3"/>
  <cols>
    <col min="5" max="5" width="38.109375" bestFit="1" customWidth="1"/>
    <col min="6" max="6" width="57.33203125" bestFit="1" customWidth="1"/>
    <col min="9" max="9" width="14.88671875" bestFit="1" customWidth="1"/>
  </cols>
  <sheetData>
    <row r="1" spans="1:19" ht="31.2" x14ac:dyDescent="0.3">
      <c r="A1" t="s">
        <v>90</v>
      </c>
      <c r="B1" s="46" t="s">
        <v>96</v>
      </c>
      <c r="C1" s="46" t="s">
        <v>96</v>
      </c>
      <c r="E1" s="45" t="s">
        <v>93</v>
      </c>
      <c r="F1" s="45" t="s">
        <v>94</v>
      </c>
      <c r="G1" s="45" t="s">
        <v>95</v>
      </c>
      <c r="J1" s="81" t="s">
        <v>397</v>
      </c>
    </row>
    <row r="2" spans="1:19" x14ac:dyDescent="0.3">
      <c r="A2" t="s">
        <v>89</v>
      </c>
      <c r="B2" t="s">
        <v>17</v>
      </c>
      <c r="C2" t="s">
        <v>393</v>
      </c>
      <c r="E2" s="46" t="s">
        <v>96</v>
      </c>
      <c r="F2" s="30"/>
      <c r="G2" s="30"/>
      <c r="J2" s="40" t="s">
        <v>396</v>
      </c>
    </row>
    <row r="3" spans="1:19" x14ac:dyDescent="0.3">
      <c r="B3" t="s">
        <v>16</v>
      </c>
      <c r="C3" t="s">
        <v>394</v>
      </c>
      <c r="E3" s="47" t="s">
        <v>97</v>
      </c>
      <c r="F3" s="47" t="s">
        <v>98</v>
      </c>
      <c r="G3" s="47">
        <v>10055</v>
      </c>
      <c r="J3" t="s">
        <v>398</v>
      </c>
    </row>
    <row r="4" spans="1:19" x14ac:dyDescent="0.3">
      <c r="B4" t="s">
        <v>34</v>
      </c>
      <c r="C4" t="s">
        <v>395</v>
      </c>
      <c r="E4" s="48" t="s">
        <v>99</v>
      </c>
      <c r="F4" s="47" t="s">
        <v>100</v>
      </c>
      <c r="G4" s="49">
        <v>10005</v>
      </c>
      <c r="I4" s="30" t="s">
        <v>17</v>
      </c>
      <c r="J4">
        <v>10</v>
      </c>
      <c r="K4" t="s">
        <v>399</v>
      </c>
    </row>
    <row r="5" spans="1:19" x14ac:dyDescent="0.3">
      <c r="E5" s="48" t="s">
        <v>101</v>
      </c>
      <c r="F5" s="47" t="s">
        <v>102</v>
      </c>
      <c r="G5" s="48">
        <v>10057</v>
      </c>
      <c r="I5" s="30" t="s">
        <v>16</v>
      </c>
      <c r="J5">
        <v>18.2</v>
      </c>
      <c r="K5" t="s">
        <v>399</v>
      </c>
      <c r="M5" t="s">
        <v>400</v>
      </c>
    </row>
    <row r="6" spans="1:19" x14ac:dyDescent="0.3">
      <c r="E6" s="48" t="s">
        <v>103</v>
      </c>
      <c r="F6" s="47" t="s">
        <v>104</v>
      </c>
      <c r="G6" s="48">
        <v>10015</v>
      </c>
      <c r="I6" s="30" t="s">
        <v>34</v>
      </c>
      <c r="J6">
        <v>125.3</v>
      </c>
      <c r="K6" t="s">
        <v>399</v>
      </c>
    </row>
    <row r="7" spans="1:19" x14ac:dyDescent="0.3">
      <c r="E7" s="48" t="s">
        <v>105</v>
      </c>
      <c r="F7" s="47" t="s">
        <v>106</v>
      </c>
      <c r="G7" s="48">
        <v>10059</v>
      </c>
      <c r="S7" s="36" t="s">
        <v>429</v>
      </c>
    </row>
    <row r="8" spans="1:19" x14ac:dyDescent="0.3">
      <c r="E8" s="48" t="s">
        <v>107</v>
      </c>
      <c r="F8" s="47" t="s">
        <v>108</v>
      </c>
      <c r="G8" s="48">
        <v>10409</v>
      </c>
      <c r="S8" t="s">
        <v>428</v>
      </c>
    </row>
    <row r="9" spans="1:19" x14ac:dyDescent="0.3">
      <c r="E9" s="48" t="s">
        <v>109</v>
      </c>
      <c r="F9" s="47" t="s">
        <v>110</v>
      </c>
      <c r="G9" s="48">
        <v>10024</v>
      </c>
    </row>
    <row r="10" spans="1:19" ht="15" thickBot="1" x14ac:dyDescent="0.35">
      <c r="E10" s="48" t="s">
        <v>111</v>
      </c>
      <c r="F10" s="47" t="s">
        <v>112</v>
      </c>
      <c r="G10" s="48">
        <v>10025</v>
      </c>
    </row>
    <row r="11" spans="1:19" ht="15" thickBot="1" x14ac:dyDescent="0.35">
      <c r="E11" s="48" t="s">
        <v>113</v>
      </c>
      <c r="F11" s="47" t="s">
        <v>114</v>
      </c>
      <c r="G11" s="48">
        <v>10027</v>
      </c>
      <c r="J11" s="83" t="s">
        <v>407</v>
      </c>
      <c r="K11" s="84"/>
      <c r="L11" s="84"/>
      <c r="M11" s="84"/>
      <c r="N11" s="84"/>
      <c r="O11" s="84"/>
      <c r="P11" s="85"/>
    </row>
    <row r="12" spans="1:19" ht="29.4" thickBot="1" x14ac:dyDescent="0.35">
      <c r="E12" s="48" t="s">
        <v>115</v>
      </c>
      <c r="F12" s="47" t="s">
        <v>116</v>
      </c>
      <c r="G12" s="50">
        <v>10029</v>
      </c>
      <c r="J12" s="94" t="s">
        <v>405</v>
      </c>
      <c r="K12" s="95" t="s">
        <v>401</v>
      </c>
      <c r="L12" s="95" t="s">
        <v>412</v>
      </c>
      <c r="M12" s="95" t="s">
        <v>402</v>
      </c>
      <c r="N12" s="95" t="s">
        <v>403</v>
      </c>
      <c r="O12" s="95" t="s">
        <v>413</v>
      </c>
      <c r="P12" s="96" t="s">
        <v>404</v>
      </c>
    </row>
    <row r="13" spans="1:19" x14ac:dyDescent="0.3">
      <c r="E13" s="48" t="s">
        <v>117</v>
      </c>
      <c r="F13" s="47" t="s">
        <v>118</v>
      </c>
      <c r="G13" s="51">
        <v>10061</v>
      </c>
      <c r="J13" s="86">
        <v>1</v>
      </c>
      <c r="K13" s="90">
        <v>6.37</v>
      </c>
      <c r="L13" s="90">
        <v>8.49</v>
      </c>
      <c r="M13" s="90">
        <v>12.73</v>
      </c>
      <c r="N13" s="90">
        <v>25.46</v>
      </c>
      <c r="O13" s="90">
        <v>38.200000000000003</v>
      </c>
      <c r="P13" s="91">
        <v>50.93</v>
      </c>
    </row>
    <row r="14" spans="1:19" x14ac:dyDescent="0.3">
      <c r="E14" s="48" t="s">
        <v>119</v>
      </c>
      <c r="F14" s="47" t="s">
        <v>120</v>
      </c>
      <c r="G14" s="48">
        <v>10062</v>
      </c>
      <c r="J14" s="87">
        <v>0.9</v>
      </c>
      <c r="K14" s="92">
        <v>6.31</v>
      </c>
      <c r="L14" s="92">
        <v>8.41</v>
      </c>
      <c r="M14" s="92">
        <v>12.62</v>
      </c>
      <c r="N14" s="92">
        <v>25.24</v>
      </c>
      <c r="O14" s="92">
        <v>37.85</v>
      </c>
      <c r="P14" s="93">
        <v>50.47</v>
      </c>
    </row>
    <row r="15" spans="1:19" x14ac:dyDescent="0.3">
      <c r="E15" s="48" t="s">
        <v>121</v>
      </c>
      <c r="F15" s="47" t="s">
        <v>122</v>
      </c>
      <c r="G15" s="48">
        <v>10326</v>
      </c>
      <c r="J15" s="87">
        <v>0.8</v>
      </c>
      <c r="K15" s="92">
        <v>6.25</v>
      </c>
      <c r="L15" s="92">
        <v>8.33</v>
      </c>
      <c r="M15" s="92">
        <v>12.5</v>
      </c>
      <c r="N15" s="92">
        <v>25</v>
      </c>
      <c r="O15" s="92">
        <v>37.49</v>
      </c>
      <c r="P15" s="93">
        <v>49.99</v>
      </c>
    </row>
    <row r="16" spans="1:19" x14ac:dyDescent="0.3">
      <c r="E16" s="48" t="s">
        <v>123</v>
      </c>
      <c r="F16" s="47" t="s">
        <v>124</v>
      </c>
      <c r="G16" s="48">
        <v>10064</v>
      </c>
      <c r="J16" s="87">
        <v>0.7</v>
      </c>
      <c r="K16" s="92">
        <v>6.19</v>
      </c>
      <c r="L16" s="92">
        <v>8.25</v>
      </c>
      <c r="M16" s="92">
        <v>12.37</v>
      </c>
      <c r="N16" s="92">
        <v>24.74</v>
      </c>
      <c r="O16" s="92">
        <v>37</v>
      </c>
      <c r="P16" s="93">
        <v>49.49</v>
      </c>
    </row>
    <row r="17" spans="5:16" x14ac:dyDescent="0.3">
      <c r="E17" s="48" t="s">
        <v>125</v>
      </c>
      <c r="F17" s="47" t="s">
        <v>126</v>
      </c>
      <c r="G17" s="48">
        <v>10044</v>
      </c>
      <c r="J17" s="87">
        <v>0.6</v>
      </c>
      <c r="K17" s="92">
        <v>6.12</v>
      </c>
      <c r="L17" s="92">
        <v>8.16</v>
      </c>
      <c r="M17" s="92">
        <v>12.24</v>
      </c>
      <c r="N17" s="92">
        <v>24.48</v>
      </c>
      <c r="O17" s="92">
        <v>36.72</v>
      </c>
      <c r="P17" s="93">
        <v>48.96</v>
      </c>
    </row>
    <row r="18" spans="5:16" x14ac:dyDescent="0.3">
      <c r="E18" s="48" t="s">
        <v>127</v>
      </c>
      <c r="F18" s="47" t="s">
        <v>128</v>
      </c>
      <c r="G18" s="48">
        <v>10065</v>
      </c>
      <c r="J18" s="87">
        <v>0.5</v>
      </c>
      <c r="K18" s="92">
        <v>6.05</v>
      </c>
      <c r="L18" s="92">
        <v>8.07</v>
      </c>
      <c r="M18" s="92">
        <v>12.1</v>
      </c>
      <c r="N18" s="92">
        <v>24.2</v>
      </c>
      <c r="O18" s="92">
        <v>36.31</v>
      </c>
      <c r="P18" s="93">
        <v>48.41</v>
      </c>
    </row>
    <row r="19" spans="5:16" x14ac:dyDescent="0.3">
      <c r="E19" s="48" t="s">
        <v>129</v>
      </c>
      <c r="F19" s="47" t="s">
        <v>130</v>
      </c>
      <c r="G19" s="50">
        <v>10046</v>
      </c>
      <c r="J19" s="87">
        <v>0.4</v>
      </c>
      <c r="K19" s="92">
        <v>5.98</v>
      </c>
      <c r="L19" s="92">
        <v>7.97</v>
      </c>
      <c r="M19" s="92">
        <v>11.96</v>
      </c>
      <c r="N19" s="92">
        <v>23.92</v>
      </c>
      <c r="O19" s="92">
        <v>35.869999999999997</v>
      </c>
      <c r="P19" s="93">
        <v>47.83</v>
      </c>
    </row>
    <row r="20" spans="5:16" x14ac:dyDescent="0.3">
      <c r="E20" s="48" t="s">
        <v>131</v>
      </c>
      <c r="F20" s="47" t="s">
        <v>132</v>
      </c>
      <c r="G20" s="48">
        <v>10047</v>
      </c>
      <c r="J20" s="87">
        <v>0.3</v>
      </c>
      <c r="K20" s="92">
        <v>5.91</v>
      </c>
      <c r="L20" s="92">
        <v>7.88</v>
      </c>
      <c r="M20" s="92">
        <v>11.81</v>
      </c>
      <c r="N20" s="92">
        <v>23.62</v>
      </c>
      <c r="O20" s="92">
        <v>35.44</v>
      </c>
      <c r="P20" s="93">
        <v>47.26</v>
      </c>
    </row>
    <row r="21" spans="5:16" x14ac:dyDescent="0.3">
      <c r="E21" s="48" t="s">
        <v>133</v>
      </c>
      <c r="F21" s="47" t="s">
        <v>134</v>
      </c>
      <c r="G21" s="51">
        <v>10066</v>
      </c>
      <c r="J21" s="87">
        <v>0.2</v>
      </c>
      <c r="K21" s="92">
        <v>5.83</v>
      </c>
      <c r="L21" s="92">
        <v>7.77</v>
      </c>
      <c r="M21" s="92">
        <v>11.66</v>
      </c>
      <c r="N21" s="92">
        <v>23.32</v>
      </c>
      <c r="O21" s="101">
        <v>34.97</v>
      </c>
      <c r="P21" s="93">
        <v>46.63</v>
      </c>
    </row>
    <row r="22" spans="5:16" ht="15" thickBot="1" x14ac:dyDescent="0.35">
      <c r="E22" s="48" t="s">
        <v>135</v>
      </c>
      <c r="F22" s="48" t="s">
        <v>136</v>
      </c>
      <c r="G22" s="48">
        <v>10050</v>
      </c>
      <c r="J22" s="97">
        <v>0.1</v>
      </c>
      <c r="K22" s="101">
        <v>5.75</v>
      </c>
      <c r="L22" s="101">
        <v>7.67</v>
      </c>
      <c r="M22" s="101">
        <v>11.51</v>
      </c>
      <c r="N22" s="101">
        <v>23.02</v>
      </c>
      <c r="O22" s="101">
        <v>34.520000000000003</v>
      </c>
      <c r="P22" s="102">
        <v>46.03</v>
      </c>
    </row>
    <row r="23" spans="5:16" ht="15" thickBot="1" x14ac:dyDescent="0.35">
      <c r="E23" s="48" t="s">
        <v>137</v>
      </c>
      <c r="F23" s="47" t="s">
        <v>138</v>
      </c>
      <c r="G23" s="48">
        <v>10067</v>
      </c>
      <c r="J23" s="98" t="s">
        <v>406</v>
      </c>
      <c r="K23" s="99">
        <f t="shared" ref="K23:P23" si="0">AVERAGE(K13:K21)</f>
        <v>6.1122222222222211</v>
      </c>
      <c r="L23" s="99">
        <f t="shared" si="0"/>
        <v>8.1477777777777778</v>
      </c>
      <c r="M23" s="99">
        <f t="shared" si="0"/>
        <v>12.221111111111112</v>
      </c>
      <c r="N23" s="99">
        <f t="shared" si="0"/>
        <v>24.442222222222224</v>
      </c>
      <c r="O23" s="99">
        <f t="shared" si="0"/>
        <v>36.650000000000006</v>
      </c>
      <c r="P23" s="100">
        <f t="shared" si="0"/>
        <v>48.885555555555555</v>
      </c>
    </row>
    <row r="24" spans="5:16" ht="15" thickBot="1" x14ac:dyDescent="0.35">
      <c r="E24" s="48" t="s">
        <v>139</v>
      </c>
      <c r="F24" s="47" t="s">
        <v>140</v>
      </c>
      <c r="G24" s="48">
        <v>10068</v>
      </c>
      <c r="J24" s="82" t="s">
        <v>408</v>
      </c>
      <c r="K24" s="88">
        <f>K23/6</f>
        <v>1.0187037037037034</v>
      </c>
      <c r="L24" s="88">
        <f>L23/8</f>
        <v>1.0184722222222222</v>
      </c>
      <c r="M24" s="88">
        <f>M23/12</f>
        <v>1.0184259259259261</v>
      </c>
      <c r="N24" s="88">
        <f>N23/24</f>
        <v>1.0184259259259261</v>
      </c>
      <c r="O24" s="88">
        <f>O23/36</f>
        <v>1.0180555555555557</v>
      </c>
      <c r="P24" s="89">
        <f>P23/48</f>
        <v>1.0184490740740741</v>
      </c>
    </row>
    <row r="25" spans="5:16" x14ac:dyDescent="0.3">
      <c r="E25" s="48" t="s">
        <v>141</v>
      </c>
      <c r="F25" s="47" t="s">
        <v>142</v>
      </c>
      <c r="G25" s="48">
        <v>10101</v>
      </c>
    </row>
    <row r="26" spans="5:16" x14ac:dyDescent="0.3">
      <c r="E26" s="48" t="s">
        <v>143</v>
      </c>
      <c r="F26" s="47" t="s">
        <v>144</v>
      </c>
      <c r="G26" s="48">
        <v>10103</v>
      </c>
    </row>
    <row r="27" spans="5:16" x14ac:dyDescent="0.3">
      <c r="E27" s="48" t="s">
        <v>145</v>
      </c>
      <c r="F27" s="47" t="s">
        <v>146</v>
      </c>
      <c r="G27" s="48">
        <v>10105</v>
      </c>
    </row>
    <row r="28" spans="5:16" x14ac:dyDescent="0.3">
      <c r="E28" s="48" t="s">
        <v>147</v>
      </c>
      <c r="F28" s="47" t="s">
        <v>148</v>
      </c>
      <c r="G28" s="50">
        <v>10106</v>
      </c>
    </row>
    <row r="29" spans="5:16" x14ac:dyDescent="0.3">
      <c r="E29" s="48" t="s">
        <v>149</v>
      </c>
      <c r="F29" s="47" t="s">
        <v>150</v>
      </c>
      <c r="G29" s="48">
        <v>10109</v>
      </c>
      <c r="J29" s="40" t="s">
        <v>411</v>
      </c>
    </row>
    <row r="30" spans="5:16" x14ac:dyDescent="0.3">
      <c r="E30" s="48" t="s">
        <v>151</v>
      </c>
      <c r="F30" s="47" t="s">
        <v>152</v>
      </c>
      <c r="G30" s="51">
        <v>10111</v>
      </c>
    </row>
    <row r="31" spans="5:16" x14ac:dyDescent="0.3">
      <c r="E31" s="48" t="s">
        <v>153</v>
      </c>
      <c r="F31" s="47" t="s">
        <v>154</v>
      </c>
      <c r="G31" s="48">
        <v>10113</v>
      </c>
    </row>
    <row r="32" spans="5:16" x14ac:dyDescent="0.3">
      <c r="E32" s="48" t="s">
        <v>155</v>
      </c>
      <c r="F32" s="47" t="s">
        <v>156</v>
      </c>
      <c r="G32" s="48">
        <v>10112</v>
      </c>
    </row>
    <row r="33" spans="5:7" x14ac:dyDescent="0.3">
      <c r="E33" s="48" t="s">
        <v>157</v>
      </c>
      <c r="F33" s="47" t="s">
        <v>158</v>
      </c>
      <c r="G33" s="48">
        <v>10116</v>
      </c>
    </row>
    <row r="34" spans="5:7" x14ac:dyDescent="0.3">
      <c r="E34" s="48" t="s">
        <v>159</v>
      </c>
      <c r="F34" s="47" t="s">
        <v>160</v>
      </c>
      <c r="G34" s="50">
        <v>10118</v>
      </c>
    </row>
    <row r="35" spans="5:7" x14ac:dyDescent="0.3">
      <c r="E35" s="48" t="s">
        <v>161</v>
      </c>
      <c r="F35" s="47" t="s">
        <v>162</v>
      </c>
      <c r="G35" s="50">
        <v>10121</v>
      </c>
    </row>
    <row r="36" spans="5:7" x14ac:dyDescent="0.3">
      <c r="E36" s="48" t="s">
        <v>163</v>
      </c>
      <c r="F36" s="47" t="s">
        <v>164</v>
      </c>
      <c r="G36" s="48">
        <v>10378</v>
      </c>
    </row>
    <row r="37" spans="5:7" x14ac:dyDescent="0.3">
      <c r="E37" s="48" t="s">
        <v>165</v>
      </c>
      <c r="F37" s="47" t="s">
        <v>166</v>
      </c>
      <c r="G37" s="48">
        <v>10123</v>
      </c>
    </row>
    <row r="38" spans="5:7" x14ac:dyDescent="0.3">
      <c r="E38" s="48" t="s">
        <v>167</v>
      </c>
      <c r="F38" s="47" t="s">
        <v>168</v>
      </c>
      <c r="G38" s="51">
        <v>10070</v>
      </c>
    </row>
    <row r="39" spans="5:7" x14ac:dyDescent="0.3">
      <c r="E39" s="48" t="s">
        <v>169</v>
      </c>
      <c r="F39" s="48" t="s">
        <v>169</v>
      </c>
      <c r="G39" s="48">
        <v>10135</v>
      </c>
    </row>
    <row r="40" spans="5:7" x14ac:dyDescent="0.3">
      <c r="E40" s="48" t="s">
        <v>170</v>
      </c>
      <c r="F40" s="47" t="s">
        <v>171</v>
      </c>
      <c r="G40" s="48">
        <v>10136</v>
      </c>
    </row>
    <row r="41" spans="5:7" x14ac:dyDescent="0.3">
      <c r="E41" s="48" t="s">
        <v>172</v>
      </c>
      <c r="F41" s="47" t="s">
        <v>173</v>
      </c>
      <c r="G41" s="48">
        <v>10071</v>
      </c>
    </row>
    <row r="42" spans="5:7" x14ac:dyDescent="0.3">
      <c r="E42" s="48" t="s">
        <v>174</v>
      </c>
      <c r="F42" s="47" t="s">
        <v>175</v>
      </c>
      <c r="G42" s="51">
        <v>10142</v>
      </c>
    </row>
    <row r="43" spans="5:7" x14ac:dyDescent="0.3">
      <c r="E43" s="48" t="s">
        <v>176</v>
      </c>
      <c r="F43" s="47" t="s">
        <v>177</v>
      </c>
      <c r="G43" s="48">
        <v>10144</v>
      </c>
    </row>
    <row r="44" spans="5:7" x14ac:dyDescent="0.3">
      <c r="E44" s="48" t="s">
        <v>178</v>
      </c>
      <c r="F44" s="47" t="s">
        <v>179</v>
      </c>
      <c r="G44" s="51">
        <v>10072</v>
      </c>
    </row>
    <row r="45" spans="5:7" x14ac:dyDescent="0.3">
      <c r="E45" s="48" t="s">
        <v>180</v>
      </c>
      <c r="F45" s="47" t="s">
        <v>181</v>
      </c>
      <c r="G45" s="48">
        <v>10156</v>
      </c>
    </row>
    <row r="46" spans="5:7" x14ac:dyDescent="0.3">
      <c r="E46" s="48" t="s">
        <v>182</v>
      </c>
      <c r="F46" s="47" t="s">
        <v>183</v>
      </c>
      <c r="G46" s="48">
        <v>10157</v>
      </c>
    </row>
    <row r="47" spans="5:7" x14ac:dyDescent="0.3">
      <c r="E47" s="48" t="s">
        <v>184</v>
      </c>
      <c r="F47" s="47" t="s">
        <v>185</v>
      </c>
      <c r="G47" s="48">
        <v>10158</v>
      </c>
    </row>
    <row r="48" spans="5:7" x14ac:dyDescent="0.3">
      <c r="E48" s="48" t="s">
        <v>431</v>
      </c>
      <c r="F48" s="47" t="s">
        <v>186</v>
      </c>
      <c r="G48" s="48">
        <v>10170</v>
      </c>
    </row>
    <row r="49" spans="5:7" x14ac:dyDescent="0.3">
      <c r="E49" s="48" t="s">
        <v>187</v>
      </c>
      <c r="F49" s="47" t="s">
        <v>188</v>
      </c>
      <c r="G49" s="51">
        <v>10408</v>
      </c>
    </row>
    <row r="50" spans="5:7" x14ac:dyDescent="0.3">
      <c r="E50" s="48" t="s">
        <v>189</v>
      </c>
      <c r="F50" s="47" t="s">
        <v>190</v>
      </c>
      <c r="G50" s="48">
        <v>10172</v>
      </c>
    </row>
    <row r="51" spans="5:7" x14ac:dyDescent="0.3">
      <c r="E51" s="48" t="s">
        <v>191</v>
      </c>
      <c r="F51" s="47" t="s">
        <v>192</v>
      </c>
      <c r="G51" s="48">
        <v>10173</v>
      </c>
    </row>
    <row r="52" spans="5:7" x14ac:dyDescent="0.3">
      <c r="E52" s="48" t="s">
        <v>193</v>
      </c>
      <c r="F52" s="47" t="s">
        <v>194</v>
      </c>
      <c r="G52" s="48">
        <v>10174</v>
      </c>
    </row>
    <row r="53" spans="5:7" x14ac:dyDescent="0.3">
      <c r="E53" s="48" t="s">
        <v>195</v>
      </c>
      <c r="F53" s="47" t="s">
        <v>196</v>
      </c>
      <c r="G53" s="48">
        <v>10177</v>
      </c>
    </row>
    <row r="54" spans="5:7" x14ac:dyDescent="0.3">
      <c r="E54" s="48" t="s">
        <v>197</v>
      </c>
      <c r="F54" s="52" t="s">
        <v>197</v>
      </c>
      <c r="G54" s="48">
        <v>10073</v>
      </c>
    </row>
    <row r="55" spans="5:7" x14ac:dyDescent="0.3">
      <c r="E55" s="48" t="s">
        <v>198</v>
      </c>
      <c r="F55" s="47" t="s">
        <v>199</v>
      </c>
      <c r="G55" s="48">
        <v>10179</v>
      </c>
    </row>
    <row r="56" spans="5:7" x14ac:dyDescent="0.3">
      <c r="E56" s="48" t="s">
        <v>200</v>
      </c>
      <c r="F56" s="47" t="s">
        <v>201</v>
      </c>
      <c r="G56" s="51">
        <v>10074</v>
      </c>
    </row>
    <row r="57" spans="5:7" x14ac:dyDescent="0.3">
      <c r="E57" s="48" t="s">
        <v>202</v>
      </c>
      <c r="F57" s="47" t="s">
        <v>203</v>
      </c>
      <c r="G57" s="51">
        <v>10183</v>
      </c>
    </row>
    <row r="58" spans="5:7" x14ac:dyDescent="0.3">
      <c r="E58" s="48" t="s">
        <v>204</v>
      </c>
      <c r="F58" s="47" t="s">
        <v>205</v>
      </c>
      <c r="G58" s="48">
        <v>10186</v>
      </c>
    </row>
    <row r="59" spans="5:7" x14ac:dyDescent="0.3">
      <c r="E59" s="48" t="s">
        <v>206</v>
      </c>
      <c r="F59" s="47" t="s">
        <v>207</v>
      </c>
      <c r="G59" s="48">
        <v>10190</v>
      </c>
    </row>
    <row r="60" spans="5:7" x14ac:dyDescent="0.3">
      <c r="E60" s="48" t="s">
        <v>208</v>
      </c>
      <c r="F60" s="47" t="s">
        <v>209</v>
      </c>
      <c r="G60" s="48">
        <v>10191</v>
      </c>
    </row>
    <row r="61" spans="5:7" x14ac:dyDescent="0.3">
      <c r="E61" s="48" t="s">
        <v>210</v>
      </c>
      <c r="F61" s="47" t="s">
        <v>211</v>
      </c>
      <c r="G61" s="48">
        <v>10197</v>
      </c>
    </row>
    <row r="62" spans="5:7" x14ac:dyDescent="0.3">
      <c r="E62" s="48" t="s">
        <v>212</v>
      </c>
      <c r="F62" s="47" t="s">
        <v>213</v>
      </c>
      <c r="G62" s="48">
        <v>10597</v>
      </c>
    </row>
    <row r="63" spans="5:7" x14ac:dyDescent="0.3">
      <c r="E63" s="48" t="s">
        <v>214</v>
      </c>
      <c r="F63" s="47" t="s">
        <v>215</v>
      </c>
      <c r="G63" s="48">
        <v>10076</v>
      </c>
    </row>
    <row r="64" spans="5:7" x14ac:dyDescent="0.3">
      <c r="E64" s="48" t="s">
        <v>216</v>
      </c>
      <c r="F64" s="47" t="s">
        <v>217</v>
      </c>
      <c r="G64" s="48">
        <v>10202</v>
      </c>
    </row>
    <row r="65" spans="5:7" x14ac:dyDescent="0.3">
      <c r="E65" s="48" t="s">
        <v>218</v>
      </c>
      <c r="F65" s="47" t="s">
        <v>219</v>
      </c>
      <c r="G65" s="48">
        <v>10203</v>
      </c>
    </row>
    <row r="66" spans="5:7" x14ac:dyDescent="0.3">
      <c r="E66" s="48" t="s">
        <v>220</v>
      </c>
      <c r="F66" s="47" t="s">
        <v>221</v>
      </c>
      <c r="G66" s="48">
        <v>10204</v>
      </c>
    </row>
    <row r="67" spans="5:7" x14ac:dyDescent="0.3">
      <c r="E67" s="48" t="s">
        <v>222</v>
      </c>
      <c r="F67" s="47" t="s">
        <v>223</v>
      </c>
      <c r="G67" s="48">
        <v>10209</v>
      </c>
    </row>
    <row r="68" spans="5:7" x14ac:dyDescent="0.3">
      <c r="E68" s="48" t="s">
        <v>224</v>
      </c>
      <c r="F68" s="47" t="s">
        <v>225</v>
      </c>
      <c r="G68" s="48">
        <v>12026</v>
      </c>
    </row>
    <row r="69" spans="5:7" x14ac:dyDescent="0.3">
      <c r="E69" s="48" t="s">
        <v>226</v>
      </c>
      <c r="F69" s="47" t="s">
        <v>227</v>
      </c>
      <c r="G69" s="48">
        <v>10230</v>
      </c>
    </row>
    <row r="70" spans="5:7" x14ac:dyDescent="0.3">
      <c r="E70" s="48" t="s">
        <v>228</v>
      </c>
      <c r="F70" s="47" t="s">
        <v>229</v>
      </c>
      <c r="G70" s="48">
        <v>10231</v>
      </c>
    </row>
    <row r="71" spans="5:7" x14ac:dyDescent="0.3">
      <c r="E71" s="48" t="s">
        <v>230</v>
      </c>
      <c r="F71" s="47" t="s">
        <v>231</v>
      </c>
      <c r="G71" s="48">
        <v>10234</v>
      </c>
    </row>
    <row r="72" spans="5:7" x14ac:dyDescent="0.3">
      <c r="E72" s="47" t="s">
        <v>232</v>
      </c>
      <c r="F72" s="47" t="s">
        <v>233</v>
      </c>
      <c r="G72" s="47">
        <v>13927</v>
      </c>
    </row>
    <row r="73" spans="5:7" x14ac:dyDescent="0.3">
      <c r="E73" s="48" t="s">
        <v>234</v>
      </c>
      <c r="F73" s="47" t="s">
        <v>235</v>
      </c>
      <c r="G73" s="51">
        <v>10235</v>
      </c>
    </row>
    <row r="74" spans="5:7" x14ac:dyDescent="0.3">
      <c r="E74" s="48" t="s">
        <v>236</v>
      </c>
      <c r="F74" s="47" t="s">
        <v>237</v>
      </c>
      <c r="G74" s="48">
        <v>10236</v>
      </c>
    </row>
    <row r="75" spans="5:7" x14ac:dyDescent="0.3">
      <c r="E75" s="48" t="s">
        <v>238</v>
      </c>
      <c r="F75" s="47" t="s">
        <v>239</v>
      </c>
      <c r="G75" s="48">
        <v>10237</v>
      </c>
    </row>
    <row r="76" spans="5:7" x14ac:dyDescent="0.3">
      <c r="E76" s="48" t="s">
        <v>240</v>
      </c>
      <c r="F76" s="47" t="s">
        <v>241</v>
      </c>
      <c r="G76" s="48">
        <v>10239</v>
      </c>
    </row>
    <row r="77" spans="5:7" x14ac:dyDescent="0.3">
      <c r="E77" s="48" t="s">
        <v>242</v>
      </c>
      <c r="F77" s="47" t="s">
        <v>243</v>
      </c>
      <c r="G77" s="48">
        <v>10242</v>
      </c>
    </row>
    <row r="78" spans="5:7" x14ac:dyDescent="0.3">
      <c r="E78" s="48" t="s">
        <v>244</v>
      </c>
      <c r="F78" s="47" t="s">
        <v>245</v>
      </c>
      <c r="G78" s="48">
        <v>10244</v>
      </c>
    </row>
    <row r="79" spans="5:7" x14ac:dyDescent="0.3">
      <c r="E79" s="48" t="s">
        <v>246</v>
      </c>
      <c r="F79" s="47" t="s">
        <v>247</v>
      </c>
      <c r="G79" s="48">
        <v>10246</v>
      </c>
    </row>
    <row r="80" spans="5:7" x14ac:dyDescent="0.3">
      <c r="E80" s="48" t="s">
        <v>248</v>
      </c>
      <c r="F80" s="47" t="s">
        <v>249</v>
      </c>
      <c r="G80" s="51">
        <v>10247</v>
      </c>
    </row>
    <row r="81" spans="5:7" x14ac:dyDescent="0.3">
      <c r="E81" s="48" t="s">
        <v>250</v>
      </c>
      <c r="F81" s="47" t="s">
        <v>251</v>
      </c>
      <c r="G81" s="48">
        <v>10078</v>
      </c>
    </row>
    <row r="82" spans="5:7" x14ac:dyDescent="0.3">
      <c r="E82" s="48" t="s">
        <v>252</v>
      </c>
      <c r="F82" s="47" t="s">
        <v>253</v>
      </c>
      <c r="G82" s="48">
        <v>10079</v>
      </c>
    </row>
    <row r="83" spans="5:7" x14ac:dyDescent="0.3">
      <c r="E83" s="48" t="s">
        <v>254</v>
      </c>
      <c r="F83" s="47" t="s">
        <v>255</v>
      </c>
      <c r="G83" s="48">
        <v>10256</v>
      </c>
    </row>
    <row r="84" spans="5:7" x14ac:dyDescent="0.3">
      <c r="E84" s="48" t="s">
        <v>256</v>
      </c>
      <c r="F84" s="47" t="s">
        <v>257</v>
      </c>
      <c r="G84" s="48">
        <v>10080</v>
      </c>
    </row>
    <row r="85" spans="5:7" x14ac:dyDescent="0.3">
      <c r="E85" s="48" t="s">
        <v>258</v>
      </c>
      <c r="F85" s="47" t="s">
        <v>259</v>
      </c>
      <c r="G85" s="48">
        <v>10081</v>
      </c>
    </row>
    <row r="86" spans="5:7" x14ac:dyDescent="0.3">
      <c r="E86" s="48" t="s">
        <v>260</v>
      </c>
      <c r="F86" s="47" t="s">
        <v>261</v>
      </c>
      <c r="G86" s="48">
        <v>10082</v>
      </c>
    </row>
    <row r="87" spans="5:7" x14ac:dyDescent="0.3">
      <c r="E87" s="48" t="s">
        <v>262</v>
      </c>
      <c r="F87" s="47" t="s">
        <v>263</v>
      </c>
      <c r="G87" s="48">
        <v>10258</v>
      </c>
    </row>
    <row r="88" spans="5:7" x14ac:dyDescent="0.3">
      <c r="E88" s="48" t="s">
        <v>264</v>
      </c>
      <c r="F88" s="47" t="s">
        <v>265</v>
      </c>
      <c r="G88" s="48">
        <v>10259</v>
      </c>
    </row>
    <row r="89" spans="5:7" x14ac:dyDescent="0.3">
      <c r="E89" s="48" t="s">
        <v>266</v>
      </c>
      <c r="F89" s="47" t="s">
        <v>267</v>
      </c>
      <c r="G89" s="48">
        <v>10260</v>
      </c>
    </row>
    <row r="90" spans="5:7" x14ac:dyDescent="0.3">
      <c r="E90" s="48" t="s">
        <v>268</v>
      </c>
      <c r="F90" s="47" t="s">
        <v>269</v>
      </c>
      <c r="G90" s="48">
        <v>10083</v>
      </c>
    </row>
    <row r="91" spans="5:7" x14ac:dyDescent="0.3">
      <c r="E91" s="48" t="s">
        <v>270</v>
      </c>
      <c r="F91" s="47" t="s">
        <v>271</v>
      </c>
      <c r="G91" s="50">
        <v>10273</v>
      </c>
    </row>
    <row r="92" spans="5:7" x14ac:dyDescent="0.3">
      <c r="E92" s="48" t="s">
        <v>272</v>
      </c>
      <c r="F92" s="47" t="s">
        <v>273</v>
      </c>
      <c r="G92" s="48">
        <v>10278</v>
      </c>
    </row>
    <row r="93" spans="5:7" x14ac:dyDescent="0.3">
      <c r="E93" s="48" t="s">
        <v>274</v>
      </c>
      <c r="F93" s="47" t="s">
        <v>275</v>
      </c>
      <c r="G93" s="48">
        <v>10279</v>
      </c>
    </row>
    <row r="94" spans="5:7" x14ac:dyDescent="0.3">
      <c r="E94" s="48" t="s">
        <v>276</v>
      </c>
      <c r="F94" s="47" t="s">
        <v>277</v>
      </c>
      <c r="G94" s="50">
        <v>10284</v>
      </c>
    </row>
    <row r="95" spans="5:7" x14ac:dyDescent="0.3">
      <c r="E95" s="48" t="s">
        <v>278</v>
      </c>
      <c r="F95" s="47" t="s">
        <v>279</v>
      </c>
      <c r="G95" s="48">
        <v>10285</v>
      </c>
    </row>
    <row r="96" spans="5:7" x14ac:dyDescent="0.3">
      <c r="E96" s="48" t="s">
        <v>280</v>
      </c>
      <c r="F96" s="47" t="s">
        <v>281</v>
      </c>
      <c r="G96" s="48">
        <v>10286</v>
      </c>
    </row>
    <row r="97" spans="5:7" x14ac:dyDescent="0.3">
      <c r="E97" s="48" t="s">
        <v>282</v>
      </c>
      <c r="F97" s="47" t="s">
        <v>283</v>
      </c>
      <c r="G97" s="48">
        <v>10288</v>
      </c>
    </row>
    <row r="98" spans="5:7" x14ac:dyDescent="0.3">
      <c r="E98" s="48" t="s">
        <v>284</v>
      </c>
      <c r="F98" s="47" t="s">
        <v>285</v>
      </c>
      <c r="G98" s="48">
        <v>10291</v>
      </c>
    </row>
    <row r="99" spans="5:7" x14ac:dyDescent="0.3">
      <c r="E99" s="48" t="s">
        <v>286</v>
      </c>
      <c r="F99" s="47" t="s">
        <v>287</v>
      </c>
      <c r="G99" s="48">
        <v>10294</v>
      </c>
    </row>
    <row r="100" spans="5:7" x14ac:dyDescent="0.3">
      <c r="E100" s="48" t="s">
        <v>288</v>
      </c>
      <c r="F100" s="47" t="s">
        <v>289</v>
      </c>
      <c r="G100" s="51">
        <v>10304</v>
      </c>
    </row>
    <row r="101" spans="5:7" x14ac:dyDescent="0.3">
      <c r="E101" s="48" t="s">
        <v>290</v>
      </c>
      <c r="F101" s="47" t="s">
        <v>291</v>
      </c>
      <c r="G101" s="48">
        <v>10306</v>
      </c>
    </row>
    <row r="102" spans="5:7" x14ac:dyDescent="0.3">
      <c r="E102" s="48" t="s">
        <v>292</v>
      </c>
      <c r="F102" s="47" t="s">
        <v>293</v>
      </c>
      <c r="G102" s="48">
        <v>10307</v>
      </c>
    </row>
    <row r="103" spans="5:7" x14ac:dyDescent="0.3">
      <c r="E103" s="48" t="s">
        <v>294</v>
      </c>
      <c r="F103" s="47" t="s">
        <v>295</v>
      </c>
      <c r="G103" s="51">
        <v>10086</v>
      </c>
    </row>
    <row r="104" spans="5:7" x14ac:dyDescent="0.3">
      <c r="E104" s="48" t="s">
        <v>296</v>
      </c>
      <c r="F104" s="47" t="s">
        <v>297</v>
      </c>
      <c r="G104" s="48">
        <v>10298</v>
      </c>
    </row>
    <row r="105" spans="5:7" x14ac:dyDescent="0.3">
      <c r="E105" s="48" t="s">
        <v>298</v>
      </c>
      <c r="F105" s="47" t="s">
        <v>299</v>
      </c>
      <c r="G105" s="48">
        <v>10087</v>
      </c>
    </row>
    <row r="106" spans="5:7" x14ac:dyDescent="0.3">
      <c r="E106" s="48" t="s">
        <v>300</v>
      </c>
      <c r="F106" s="47" t="s">
        <v>301</v>
      </c>
      <c r="G106" s="48">
        <v>10706</v>
      </c>
    </row>
    <row r="107" spans="5:7" x14ac:dyDescent="0.3">
      <c r="E107" s="48" t="s">
        <v>302</v>
      </c>
      <c r="F107" s="47" t="s">
        <v>303</v>
      </c>
      <c r="G107" s="51">
        <v>10331</v>
      </c>
    </row>
    <row r="108" spans="5:7" x14ac:dyDescent="0.3">
      <c r="E108" s="48" t="s">
        <v>304</v>
      </c>
      <c r="F108" s="47" t="s">
        <v>305</v>
      </c>
      <c r="G108" s="48">
        <v>10333</v>
      </c>
    </row>
    <row r="109" spans="5:7" x14ac:dyDescent="0.3">
      <c r="E109" s="48" t="s">
        <v>306</v>
      </c>
      <c r="F109" s="47" t="s">
        <v>307</v>
      </c>
      <c r="G109" s="48">
        <v>10089</v>
      </c>
    </row>
    <row r="110" spans="5:7" x14ac:dyDescent="0.3">
      <c r="E110" s="48" t="s">
        <v>308</v>
      </c>
      <c r="F110" s="47" t="s">
        <v>309</v>
      </c>
      <c r="G110" s="48">
        <v>10338</v>
      </c>
    </row>
    <row r="111" spans="5:7" x14ac:dyDescent="0.3">
      <c r="E111" s="48" t="s">
        <v>310</v>
      </c>
      <c r="F111" s="47" t="s">
        <v>311</v>
      </c>
      <c r="G111" s="48">
        <v>10091</v>
      </c>
    </row>
    <row r="112" spans="5:7" x14ac:dyDescent="0.3">
      <c r="E112" s="48" t="s">
        <v>312</v>
      </c>
      <c r="F112" s="47" t="s">
        <v>313</v>
      </c>
      <c r="G112" s="48">
        <v>10342</v>
      </c>
    </row>
    <row r="113" spans="5:7" x14ac:dyDescent="0.3">
      <c r="E113" s="48" t="s">
        <v>314</v>
      </c>
      <c r="F113" s="47" t="s">
        <v>315</v>
      </c>
      <c r="G113" s="48">
        <v>10343</v>
      </c>
    </row>
    <row r="114" spans="5:7" x14ac:dyDescent="0.3">
      <c r="E114" s="48" t="s">
        <v>316</v>
      </c>
      <c r="F114" s="47" t="s">
        <v>317</v>
      </c>
      <c r="G114" s="48">
        <v>10349</v>
      </c>
    </row>
    <row r="115" spans="5:7" x14ac:dyDescent="0.3">
      <c r="E115" s="48" t="s">
        <v>318</v>
      </c>
      <c r="F115" s="47" t="s">
        <v>319</v>
      </c>
      <c r="G115" s="48">
        <v>10352</v>
      </c>
    </row>
    <row r="116" spans="5:7" x14ac:dyDescent="0.3">
      <c r="E116" s="48" t="s">
        <v>320</v>
      </c>
      <c r="F116" s="47" t="s">
        <v>321</v>
      </c>
      <c r="G116" s="48">
        <v>10354</v>
      </c>
    </row>
    <row r="117" spans="5:7" x14ac:dyDescent="0.3">
      <c r="E117" s="48" t="s">
        <v>322</v>
      </c>
      <c r="F117" s="47" t="s">
        <v>323</v>
      </c>
      <c r="G117" s="51">
        <v>10094</v>
      </c>
    </row>
    <row r="118" spans="5:7" x14ac:dyDescent="0.3">
      <c r="E118" s="48" t="s">
        <v>324</v>
      </c>
      <c r="F118" s="47" t="s">
        <v>325</v>
      </c>
      <c r="G118" s="48">
        <v>10360</v>
      </c>
    </row>
    <row r="119" spans="5:7" x14ac:dyDescent="0.3">
      <c r="E119" s="48" t="s">
        <v>326</v>
      </c>
      <c r="F119" s="47" t="s">
        <v>327</v>
      </c>
      <c r="G119" s="48">
        <v>10363</v>
      </c>
    </row>
    <row r="120" spans="5:7" x14ac:dyDescent="0.3">
      <c r="E120" s="48" t="s">
        <v>328</v>
      </c>
      <c r="F120" s="47" t="s">
        <v>329</v>
      </c>
      <c r="G120" s="48">
        <v>10379</v>
      </c>
    </row>
    <row r="121" spans="5:7" x14ac:dyDescent="0.3">
      <c r="E121" s="48" t="s">
        <v>330</v>
      </c>
      <c r="F121" s="47" t="s">
        <v>331</v>
      </c>
      <c r="G121" s="48">
        <v>10095</v>
      </c>
    </row>
    <row r="122" spans="5:7" x14ac:dyDescent="0.3">
      <c r="E122" s="48" t="s">
        <v>332</v>
      </c>
      <c r="F122" s="47" t="s">
        <v>333</v>
      </c>
      <c r="G122" s="48">
        <v>10369</v>
      </c>
    </row>
    <row r="123" spans="5:7" x14ac:dyDescent="0.3">
      <c r="E123" s="48" t="s">
        <v>334</v>
      </c>
      <c r="F123" s="47" t="s">
        <v>335</v>
      </c>
      <c r="G123" s="48">
        <v>10370</v>
      </c>
    </row>
    <row r="124" spans="5:7" x14ac:dyDescent="0.3">
      <c r="E124" s="48" t="s">
        <v>336</v>
      </c>
      <c r="F124" s="47" t="s">
        <v>337</v>
      </c>
      <c r="G124" s="48">
        <v>10371</v>
      </c>
    </row>
    <row r="125" spans="5:7" x14ac:dyDescent="0.3">
      <c r="E125" s="48" t="s">
        <v>338</v>
      </c>
      <c r="F125" s="47" t="s">
        <v>339</v>
      </c>
      <c r="G125" s="50">
        <v>10376</v>
      </c>
    </row>
    <row r="126" spans="5:7" x14ac:dyDescent="0.3">
      <c r="E126" s="48" t="s">
        <v>340</v>
      </c>
      <c r="F126" s="47" t="s">
        <v>341</v>
      </c>
      <c r="G126" s="48">
        <v>10097</v>
      </c>
    </row>
    <row r="127" spans="5:7" x14ac:dyDescent="0.3">
      <c r="E127" s="48" t="s">
        <v>342</v>
      </c>
      <c r="F127" s="47" t="s">
        <v>343</v>
      </c>
      <c r="G127" s="51">
        <v>10388</v>
      </c>
    </row>
    <row r="128" spans="5:7" x14ac:dyDescent="0.3">
      <c r="E128" s="48" t="s">
        <v>344</v>
      </c>
      <c r="F128" s="47" t="s">
        <v>345</v>
      </c>
      <c r="G128" s="48">
        <v>10482</v>
      </c>
    </row>
    <row r="129" spans="5:7" x14ac:dyDescent="0.3">
      <c r="E129" s="48" t="s">
        <v>346</v>
      </c>
      <c r="F129" s="47" t="s">
        <v>347</v>
      </c>
      <c r="G129" s="48">
        <v>10391</v>
      </c>
    </row>
    <row r="130" spans="5:7" x14ac:dyDescent="0.3">
      <c r="E130" s="48" t="s">
        <v>348</v>
      </c>
      <c r="F130" s="48" t="s">
        <v>349</v>
      </c>
      <c r="G130" s="48">
        <v>10399</v>
      </c>
    </row>
    <row r="131" spans="5:7" x14ac:dyDescent="0.3">
      <c r="E131" s="48" t="s">
        <v>350</v>
      </c>
      <c r="F131" s="47" t="s">
        <v>351</v>
      </c>
      <c r="G131" s="48">
        <v>10406</v>
      </c>
    </row>
    <row r="132" spans="5:7" x14ac:dyDescent="0.3">
      <c r="E132" s="48" t="s">
        <v>352</v>
      </c>
      <c r="F132" s="47" t="s">
        <v>353</v>
      </c>
      <c r="G132" s="51">
        <v>10426</v>
      </c>
    </row>
    <row r="133" spans="5:7" x14ac:dyDescent="0.3">
      <c r="E133" s="48" t="s">
        <v>354</v>
      </c>
      <c r="F133" s="47" t="s">
        <v>355</v>
      </c>
      <c r="G133" s="48">
        <v>10434</v>
      </c>
    </row>
    <row r="134" spans="5:7" x14ac:dyDescent="0.3">
      <c r="E134" s="48" t="s">
        <v>356</v>
      </c>
      <c r="F134" s="47" t="s">
        <v>357</v>
      </c>
      <c r="G134" s="48">
        <v>10436</v>
      </c>
    </row>
    <row r="135" spans="5:7" x14ac:dyDescent="0.3">
      <c r="E135" s="48" t="s">
        <v>358</v>
      </c>
      <c r="F135" s="47" t="s">
        <v>359</v>
      </c>
      <c r="G135" s="48">
        <v>10440</v>
      </c>
    </row>
    <row r="136" spans="5:7" x14ac:dyDescent="0.3">
      <c r="E136" s="48" t="s">
        <v>360</v>
      </c>
      <c r="F136" s="47" t="s">
        <v>361</v>
      </c>
      <c r="G136" s="48">
        <v>10442</v>
      </c>
    </row>
    <row r="137" spans="5:7" x14ac:dyDescent="0.3">
      <c r="E137" s="48" t="s">
        <v>362</v>
      </c>
      <c r="F137" s="47" t="s">
        <v>363</v>
      </c>
      <c r="G137" s="48">
        <v>11680</v>
      </c>
    </row>
    <row r="138" spans="5:7" x14ac:dyDescent="0.3">
      <c r="E138" s="48" t="s">
        <v>364</v>
      </c>
      <c r="F138" s="47" t="s">
        <v>365</v>
      </c>
      <c r="G138" s="48">
        <v>10446</v>
      </c>
    </row>
    <row r="139" spans="5:7" x14ac:dyDescent="0.3">
      <c r="E139" s="48" t="s">
        <v>366</v>
      </c>
      <c r="F139" s="47" t="s">
        <v>367</v>
      </c>
      <c r="G139" s="50">
        <v>10448</v>
      </c>
    </row>
    <row r="140" spans="5:7" x14ac:dyDescent="0.3">
      <c r="E140" s="48" t="s">
        <v>368</v>
      </c>
      <c r="F140" s="47" t="s">
        <v>369</v>
      </c>
      <c r="G140" s="49">
        <v>10451</v>
      </c>
    </row>
    <row r="141" spans="5:7" x14ac:dyDescent="0.3">
      <c r="E141" s="48" t="s">
        <v>370</v>
      </c>
      <c r="F141" s="47" t="s">
        <v>371</v>
      </c>
      <c r="G141" s="48">
        <v>10502</v>
      </c>
    </row>
  </sheetData>
  <hyperlinks>
    <hyperlink ref="J2" r:id="rId1"/>
    <hyperlink ref="J29" r:id="rId2"/>
  </hyperlinks>
  <pageMargins left="0.7" right="0.7" top="0.75" bottom="0.75" header="0.3" footer="0.3"/>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3" sqref="C3"/>
    </sheetView>
  </sheetViews>
  <sheetFormatPr defaultRowHeight="14.4" x14ac:dyDescent="0.3"/>
  <cols>
    <col min="1" max="1" width="7.33203125" bestFit="1" customWidth="1"/>
    <col min="2" max="2" width="14.5546875" bestFit="1" customWidth="1"/>
    <col min="3" max="3" width="127.88671875" bestFit="1" customWidth="1"/>
  </cols>
  <sheetData>
    <row r="1" spans="1:3" x14ac:dyDescent="0.3">
      <c r="A1" s="106" t="s">
        <v>416</v>
      </c>
      <c r="B1" s="106" t="s">
        <v>417</v>
      </c>
      <c r="C1" s="106" t="s">
        <v>418</v>
      </c>
    </row>
    <row r="2" spans="1:3" x14ac:dyDescent="0.3">
      <c r="A2">
        <v>1</v>
      </c>
      <c r="B2" s="104">
        <v>43739</v>
      </c>
      <c r="C2" t="s">
        <v>420</v>
      </c>
    </row>
    <row r="3" spans="1:3" ht="115.2" x14ac:dyDescent="0.3">
      <c r="A3">
        <v>1.1000000000000001</v>
      </c>
      <c r="C3" s="105" t="s">
        <v>427</v>
      </c>
    </row>
    <row r="4" spans="1:3" x14ac:dyDescent="0.3">
      <c r="C4" s="30"/>
    </row>
    <row r="5" spans="1:3" x14ac:dyDescent="0.3">
      <c r="C5" s="30"/>
    </row>
    <row r="6" spans="1:3" x14ac:dyDescent="0.3">
      <c r="C6" s="30"/>
    </row>
    <row r="7" spans="1:3" x14ac:dyDescent="0.3">
      <c r="C7" s="30"/>
    </row>
    <row r="8" spans="1:3" x14ac:dyDescent="0.3">
      <c r="C8" s="30"/>
    </row>
    <row r="15" spans="1:3" x14ac:dyDescent="0.3">
      <c r="A15" t="s">
        <v>421</v>
      </c>
      <c r="C15" s="30" t="s">
        <v>422</v>
      </c>
    </row>
    <row r="16" spans="1:3" x14ac:dyDescent="0.3">
      <c r="C16" s="30" t="s">
        <v>423</v>
      </c>
    </row>
    <row r="17" spans="3:3" x14ac:dyDescent="0.3">
      <c r="C17" s="30" t="s">
        <v>424</v>
      </c>
    </row>
    <row r="18" spans="3:3" x14ac:dyDescent="0.3">
      <c r="C18" s="30" t="s">
        <v>425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neral Document" ma:contentTypeID="0x010100404842DB1C82EF43A906826C7ABE80A904002577F1FA3A91944FB06506E561E612D5" ma:contentTypeVersion="6" ma:contentTypeDescription="BPA Documents that do not have a specific content type defined." ma:contentTypeScope="" ma:versionID="0b05b3b6d55006cb46c6e7ec31625e20">
  <xsd:schema xmlns:xsd="http://www.w3.org/2001/XMLSchema" xmlns:xs="http://www.w3.org/2001/XMLSchema" xmlns:p="http://schemas.microsoft.com/office/2006/metadata/properties" xmlns:ns1="http://schemas.microsoft.com/sharepoint/v3" xmlns:ns2="http://schemas.microsoft.com/sharepoint/v3/fields" xmlns:ns3="e22c7409-3fd3-409a-a4a6-6ab0ea51d687" targetNamespace="http://schemas.microsoft.com/office/2006/metadata/properties" ma:root="true" ma:fieldsID="aeedefea269660b2b1559e3fd7a19302" ns1:_="" ns2:_="" ns3:_="">
    <xsd:import namespace="http://schemas.microsoft.com/sharepoint/v3"/>
    <xsd:import namespace="http://schemas.microsoft.com/sharepoint/v3/fields"/>
    <xsd:import namespace="e22c7409-3fd3-409a-a4a6-6ab0ea51d687"/>
    <xsd:element name="properties">
      <xsd:complexType>
        <xsd:sequence>
          <xsd:element name="documentManagement">
            <xsd:complexType>
              <xsd:all>
                <xsd:element ref="ns2:_Relation" minOccurs="0"/>
                <xsd:element ref="ns2:_Contributor" minOccurs="0"/>
                <xsd:element ref="ns2:_Coverage" minOccurs="0"/>
                <xsd:element ref="ns2:_Format" minOccurs="0"/>
                <xsd:element ref="ns1:Language" minOccurs="0"/>
                <xsd:element ref="ns2:_Publisher" minOccurs="0"/>
                <xsd:element ref="ns2:_Identifier" minOccurs="0"/>
                <xsd:element ref="ns2:_ResourceType"/>
                <xsd:element ref="ns2:_Source" minOccurs="0"/>
                <xsd:element ref="ns2:_DCDateCreated" minOccurs="0"/>
                <xsd:element ref="ns2:_DCDateModified" minOccurs="0"/>
                <xsd:element ref="ns3:pb95b497b12c48a38c5a5dfead4fe67f"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Relation" ma:index="8" nillable="true" ma:displayName="Relation" ma:description="References to related resources" ma:internalName="_Relation">
      <xsd:simpleType>
        <xsd:restriction base="dms:Note">
          <xsd:maxLength value="255"/>
        </xsd:restriction>
      </xsd:simpleType>
    </xsd:element>
    <xsd:element name="_Contributor" ma:index="9" nillable="true" ma:displayName="Contributor" ma:description="One or more people or organizations that contributed to this resource" ma:internalName="_Contributor">
      <xsd:simpleType>
        <xsd:restriction base="dms:Note">
          <xsd:maxLength value="255"/>
        </xsd:restriction>
      </xsd:simpleType>
    </xsd:element>
    <xsd:element name="_Coverage" ma:index="10" nillable="true" ma:displayName="Coverage" ma:description="The extent or scope" ma:internalName="_Coverage">
      <xsd:simpleType>
        <xsd:restriction base="dms:Text"/>
      </xsd:simpleType>
    </xsd:element>
    <xsd:element name="_Format" ma:index="13" nillable="true" ma:displayName="Format" ma:description="Media-type, file format or dimensions" ma:internalName="_Format">
      <xsd:simpleType>
        <xsd:restriction base="dms:Text"/>
      </xsd:simpleType>
    </xsd:element>
    <xsd:element name="_Publisher" ma:index="15" nillable="true" ma:displayName="Publisher" ma:description="The person, organization or service that published this resource" ma:internalName="_Publisher">
      <xsd:simpleType>
        <xsd:restriction base="dms:Text"/>
      </xsd:simpleType>
    </xsd:element>
    <xsd:element name="_Identifier" ma:index="16" nillable="true" ma:displayName="Resource Identifier" ma:description="An identifying string or number, usually conforming to a formal identification system" ma:internalName="_Identifier">
      <xsd:simpleType>
        <xsd:restriction base="dms:Text"/>
      </xsd:simpleType>
    </xsd:element>
    <xsd:element name="_ResourceType" ma:index="17" ma:displayName="Resource Type" ma:description="A set of categories, functions, genres or aggregation levels" ma:internalName="_ResourceType" ma:readOnly="false">
      <xsd:simpleType>
        <xsd:restriction base="dms:Text"/>
      </xsd:simpleType>
    </xsd:element>
    <xsd:element name="_Source" ma:index="18" nillable="true" ma:displayName="Source" ma:description="References to resources from which this resource was derived" ma:internalName="_Source">
      <xsd:simpleType>
        <xsd:restriction base="dms:Note">
          <xsd:maxLength value="255"/>
        </xsd:restriction>
      </xsd:simpleType>
    </xsd:element>
    <xsd:element name="_DCDateCreated" ma:index="19" nillable="true" ma:displayName="Date Created" ma:description="The date on which this resource was created" ma:format="DateTime" ma:internalName="_DCDateCreated">
      <xsd:simpleType>
        <xsd:restriction base="dms:DateTime"/>
      </xsd:simpleType>
    </xsd:element>
    <xsd:element name="_DCDateModified" ma:index="20"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22c7409-3fd3-409a-a4a6-6ab0ea51d687" elementFormDefault="qualified">
    <xsd:import namespace="http://schemas.microsoft.com/office/2006/documentManagement/types"/>
    <xsd:import namespace="http://schemas.microsoft.com/office/infopath/2007/PartnerControls"/>
    <xsd:element name="pb95b497b12c48a38c5a5dfead4fe67f" ma:index="21" ma:taxonomy="true" ma:internalName="pb95b497b12c48a38c5a5dfead4fe67f" ma:taxonomyFieldName="Tags" ma:displayName="Tags" ma:readOnly="false" ma:default="" ma:fieldId="{9b95b497-b12c-48a3-8c5a-5dfead4fe67f}" ma:taxonomyMulti="true" ma:sspId="d95bfaeb-d21c-407f-a59f-76a7cca530c2" ma:termSetId="7721fb43-69da-41c8-8f20-dab2ccd6cc4e"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577f0b94-768c-4362-8994-1f14373be3ed}" ma:internalName="TaxCatchAll" ma:showField="CatchAllData" ma:web="48d172a2-2dac-438c-8a85-36dabc38d507">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577f0b94-768c-4362-8994-1f14373be3ed}" ma:internalName="TaxCatchAllLabel" ma:readOnly="true" ma:showField="CatchAllDataLabel" ma:web="48d172a2-2dac-438c-8a85-36dabc38d5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_Source xmlns="http://schemas.microsoft.com/sharepoint/v3/fields" xsi:nil="tru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pb95b497b12c48a38c5a5dfead4fe67f xmlns="e22c7409-3fd3-409a-a4a6-6ab0ea51d687">
      <Terms xmlns="http://schemas.microsoft.com/office/infopath/2007/PartnerControls">
        <TermInfo xmlns="http://schemas.microsoft.com/office/infopath/2007/PartnerControls">
          <TermName xmlns="http://schemas.microsoft.com/office/infopath/2007/PartnerControls">Energy Efficiency</TermName>
          <TermId xmlns="http://schemas.microsoft.com/office/infopath/2007/PartnerControls">7d88f299-fa2d-4d2a-99d9-9b08652f27c4</TermId>
        </TermInfo>
      </Terms>
    </pb95b497b12c48a38c5a5dfead4fe67f>
    <_Coverage xmlns="http://schemas.microsoft.com/sharepoint/v3/fields" xsi:nil="true"/>
    <_Identifier xmlns="http://schemas.microsoft.com/sharepoint/v3/fields" xsi:nil="true"/>
    <_ResourceType xmlns="http://schemas.microsoft.com/sharepoint/v3/fields">Document</_ResourceType>
    <TaxCatchAll xmlns="e22c7409-3fd3-409a-a4a6-6ab0ea51d687">
      <Value>16</Value>
    </TaxCatchAll>
    <_DCDateCreat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545202-7EFF-4AB3-9BCF-DC62E9C23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e22c7409-3fd3-409a-a4a6-6ab0ea51d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8DA1EE-F5C6-4AC6-9937-2B2704B1EED5}">
  <ds:schemaRefs>
    <ds:schemaRef ds:uri="http://purl.org/dc/terms/"/>
    <ds:schemaRef ds:uri="e22c7409-3fd3-409a-a4a6-6ab0ea51d687"/>
    <ds:schemaRef ds:uri="http://schemas.microsoft.com/office/2006/documentManagement/types"/>
    <ds:schemaRef ds:uri="http://schemas.microsoft.com/sharepoint/v3"/>
    <ds:schemaRef ds:uri="http://schemas.microsoft.com/sharepoint/v3/field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FFA8467-CA0E-4355-A2F7-1EC543E3ED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1. Site Data</vt:lpstr>
      <vt:lpstr>2. Operational Data</vt:lpstr>
      <vt:lpstr>3. INVOICE UPLOAD</vt:lpstr>
      <vt:lpstr>Lists</vt:lpstr>
      <vt:lpstr>Revision notes</vt:lpstr>
      <vt:lpstr>annual_cycles_per_charger</vt:lpstr>
      <vt:lpstr>busbar_savings</vt:lpstr>
      <vt:lpstr>equipment_cost</vt:lpstr>
      <vt:lpstr>existing_battery</vt:lpstr>
      <vt:lpstr>final_incentive</vt:lpstr>
      <vt:lpstr>no_chargers</vt:lpstr>
      <vt:lpstr>'2. Operational Data'!Print_Area</vt:lpstr>
      <vt:lpstr>project_cost</vt:lpstr>
      <vt:lpstr>upgrade_battery</vt:lpstr>
      <vt:lpstr>weekday_cycles</vt:lpstr>
      <vt:lpstr>weekday_days</vt:lpstr>
      <vt:lpstr>weekday_weeks</vt:lpstr>
      <vt:lpstr>weekend_cycles</vt:lpstr>
      <vt:lpstr>weekend_days</vt:lpstr>
      <vt:lpstr>weekend_weeks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Battery_Charger_Calculator</dc:title>
  <dc:creator>Kelly, Nathan</dc:creator>
  <dc:description/>
  <cp:lastModifiedBy>Gross,Michael C (CONTR) - PEJB-6</cp:lastModifiedBy>
  <cp:lastPrinted>2018-12-04T00:36:51Z</cp:lastPrinted>
  <dcterms:created xsi:type="dcterms:W3CDTF">2018-04-03T17:43:43Z</dcterms:created>
  <dcterms:modified xsi:type="dcterms:W3CDTF">2021-12-20T23:56:02Z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0x010100404842DB1C82EF43A906826C7ABE80A904002577F1FA3A91944FB06506E561E612D5</vt:lpwstr>
  </property>
  <property fmtid="{D5CDD505-2E9C-101B-9397-08002B2CF9AE}" pid="3" name="Tags">
    <vt:lpwstr>16;#Energy Efficiency|7d88f299-fa2d-4d2a-99d9-9b08652f27c4</vt:lpwstr>
  </property>
  <property fmtid="{D5CDD505-2E9C-101B-9397-08002B2CF9AE}" pid="4" name="Order">
    <vt:r8>41900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SourceUrl">
    <vt:lpwstr/>
  </property>
  <property fmtid="{D5CDD505-2E9C-101B-9397-08002B2CF9AE}" pid="9" name="_SharedFileIndex">
    <vt:lpwstr/>
  </property>
  <property fmtid="{D5CDD505-2E9C-101B-9397-08002B2CF9AE}" pid="10" name="PublishingContact">
    <vt:lpwstr/>
  </property>
  <property fmtid="{D5CDD505-2E9C-101B-9397-08002B2CF9AE}" pid="11" name="PublishingRollupImage">
    <vt:lpwstr/>
  </property>
  <property fmtid="{D5CDD505-2E9C-101B-9397-08002B2CF9AE}" pid="12" name="PublishingContactEmail">
    <vt:lpwstr/>
  </property>
  <property fmtid="{D5CDD505-2E9C-101B-9397-08002B2CF9AE}" pid="13" name="PublishingVariationRelationshipLinkFieldID">
    <vt:lpwstr/>
  </property>
  <property fmtid="{D5CDD505-2E9C-101B-9397-08002B2CF9AE}" pid="14" name="PublishingContactName">
    <vt:lpwstr/>
  </property>
  <property fmtid="{D5CDD505-2E9C-101B-9397-08002B2CF9AE}" pid="15" name="Comments">
    <vt:lpwstr/>
  </property>
  <property fmtid="{D5CDD505-2E9C-101B-9397-08002B2CF9AE}" pid="16" name="PublishingPageLayout">
    <vt:lpwstr/>
  </property>
  <property fmtid="{D5CDD505-2E9C-101B-9397-08002B2CF9AE}" pid="17" name="Audience">
    <vt:lpwstr/>
  </property>
  <property fmtid="{D5CDD505-2E9C-101B-9397-08002B2CF9AE}" pid="18" name="PublishingContactPicture">
    <vt:lpwstr/>
  </property>
  <property fmtid="{D5CDD505-2E9C-101B-9397-08002B2CF9AE}" pid="19" name="PublishingVariationGroupID">
    <vt:lpwstr/>
  </property>
</Properties>
</file>